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ables/table1.xml" ContentType="application/vnd.openxmlformats-officedocument.spreadsheetml.table+xml"/>
  <Override PartName="/xl/comments10.xml" ContentType="application/vnd.openxmlformats-officedocument.spreadsheetml.comments+xml"/>
  <Override PartName="/xl/tables/table2.xml" ContentType="application/vnd.openxmlformats-officedocument.spreadsheetml.table+xml"/>
  <Override PartName="/xl/comments1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showInkAnnotation="0" autoCompressPictures="0"/>
  <mc:AlternateContent xmlns:mc="http://schemas.openxmlformats.org/markup-compatibility/2006">
    <mc:Choice Requires="x15">
      <x15ac:absPath xmlns:x15ac="http://schemas.microsoft.com/office/spreadsheetml/2010/11/ac" url="/Users/kvanalls/Box Sync/CCM_work_folder/process_templates/zeolites_for_FCC/"/>
    </mc:Choice>
  </mc:AlternateContent>
  <xr:revisionPtr revIDLastSave="0" documentId="13_ncr:1_{2F6A0193-6BC0-1A40-9A50-6E6062B4A1B1}" xr6:coauthVersionLast="45" xr6:coauthVersionMax="45" xr10:uidLastSave="{00000000-0000-0000-0000-000000000000}"/>
  <bookViews>
    <workbookView xWindow="0" yWindow="460" windowWidth="51200" windowHeight="26740" tabRatio="716" activeTab="1" xr2:uid="{00000000-000D-0000-FFFF-FFFF00000000}"/>
  </bookViews>
  <sheets>
    <sheet name="0 Instructions" sheetId="1" r:id="rId1"/>
    <sheet name="1 Inputs" sheetId="2" r:id="rId2"/>
    <sheet name="2 Materials" sheetId="3" r:id="rId3"/>
    <sheet name="3a Step Method" sheetId="22" r:id="rId4"/>
    <sheet name="3b Equip" sheetId="13" r:id="rId5"/>
    <sheet name="3c Utilities" sheetId="18" r:id="rId6"/>
    <sheet name="3d CapEx" sheetId="12" r:id="rId7"/>
    <sheet name="3e OpEx" sheetId="11" r:id="rId8"/>
    <sheet name="4 Spent Catalyst" sheetId="23" r:id="rId9"/>
    <sheet name="5 Outputs" sheetId="9" r:id="rId10"/>
    <sheet name="Materials Library" sheetId="6" r:id="rId11"/>
    <sheet name="Step Library" sheetId="25" r:id="rId12"/>
    <sheet name="Equip. Library" sheetId="7" r:id="rId13"/>
    <sheet name="Spent Cat Library" sheetId="24" r:id="rId14"/>
    <sheet name="UnitConv" sheetId="14" r:id="rId15"/>
    <sheet name="ChemPPI" sheetId="15" r:id="rId16"/>
    <sheet name="CEPCI" sheetId="17" r:id="rId17"/>
  </sheets>
  <definedNames>
    <definedName name="ActualProduction">'1 Inputs'!$K$39</definedName>
    <definedName name="APWeightPercent">'2 Materials'!$D$10</definedName>
    <definedName name="BasisYear">'1 Inputs'!$D$9</definedName>
    <definedName name="CurrencySymbol">'1 Inputs'!$D$11</definedName>
    <definedName name="DesignProductionRate">'1 Inputs'!$K$45</definedName>
    <definedName name="EquipInstalled">'3b Equip'!$E$10</definedName>
    <definedName name="EquipPurchase">'3b Equip'!$E$9</definedName>
    <definedName name="EstimateName">'1 Inputs'!$C$6</definedName>
    <definedName name="FCI">'3d CapEx'!$H$28</definedName>
    <definedName name="FlatMargin">'1 Inputs'!$K$53</definedName>
    <definedName name="fnEqExpPars">INDEX(fnEquipLibRange,fnEquipRowNum,5):INDEX(fnEquipLibRange,fnEquipRowNum,9)</definedName>
    <definedName name="fnEquipCEPCI">VLOOKUP(BasisYear,CEPCI!$A$4:$F$199,2,FALSE)/VLOOKUP('3b Equip'!$C1,fnEquipLibRange,12,FALSE)</definedName>
    <definedName name="fnEquipCEPCIbyYear">VLOOKUP(BasisYear,CEPCI!$A$4:$F$199,2,FALSE)/VLOOKUP(VLOOKUP('3b Equip'!$C1,fnEquipLibRange,14,FALSE),CEPCI!$A$4:$F$199,2,FALSE)</definedName>
    <definedName name="fnEquipChemPPI">VLOOKUP(BasisYear,ChemPPI[],14,FALSE)/VLOOKUP(VLOOKUP('3b Equip'!$C1,fnEquipLibRange,14,FALSE),ChemPPI[],14,FALSE)</definedName>
    <definedName name="fnEquipConstMaterial">INDEX(fnEquipLibRange,fnEquipRowNum,25+MATCH('3b Equip'!$E1,INDIRECT("'Equip. Library'!Q"&amp;fnEquipRowNum&amp;":Z"&amp;fnEquipRowNum),0))</definedName>
    <definedName name="fnEquipCostCorr">CHOOSE(LEFT(VLOOKUP('3b Equip'!$C1,fnEquipLibRange,10,FALSE)),fnEquipPowerLaw,fnEquipExpPoly)</definedName>
    <definedName name="fnEquipCostIndex">IFERROR(fnEquipCEPCI,IFERROR(fnEquipCEPCIbyYear,fnEquipChemPPI))</definedName>
    <definedName name="fnEquipExpPoly">EXP(INDEX(fnEqExpPars,1)+INDEX(fnEqExpPars,2)*LN('3b Equip'!$L1)+INDEX(fnEqExpPars,3)*LN('3b Equip'!$L1)^2+INDEX(fnEqExpPars,4)*LN('3b Equip'!$L1)^3+INDEX(fnEqExpPars,5)*LN('3b Equip'!$L1)^4)</definedName>
    <definedName name="fnEquipInstFactor">INDEX(fnEquipLibRange,fnEquipRowNum,37)</definedName>
    <definedName name="fnEquipLaborFactor">INDEX(fnEquipLibRange,fnEquipRowNum,38)</definedName>
    <definedName name="fnEquipLibRange">'Equip. Library'!$B$1:INDIRECT("'Equip. Library'!R"&amp;(MATCH("END",'Equip. Library'!$B$1:$B$2026,0)-1)&amp;"C"&amp;COUNTA('Equip. Library'!$A$1:$CV$1),FALSE)</definedName>
    <definedName name="fnEquipNames">'Equip. Library'!$B$2:INDEX('Equip. Library'!$B$2:$B$2026,MATCH("END",'Equip. Library'!$B$2:$B$2026,0)-1)</definedName>
    <definedName name="fnEquipPowerLaw">VLOOKUP('3b Equip'!$C1,fnEquipLibRange,5,FALSE)+VLOOKUP('3b Equip'!$C1,fnEquipLibRange,6,FALSE)*'3b Equip'!$L1^VLOOKUP('3b Equip'!$C1,fnEquipLibRange,7,FALSE)</definedName>
    <definedName name="fnEquipRowNum">1+MATCH('3b Equip'!$C1,fnEquipNames,0)</definedName>
    <definedName name="fnEquipTemplates">OFFSET('3b Equip'!$AA$1,0,0,COUNTIF('3b Equip'!$C$1:$C$9959,"CapEx &amp; OpEx Factors Template Name"),1)</definedName>
    <definedName name="fnStepCostHourly">INDEX(Steps[],MATCH('3a Step Method'!$C1,Steps[[Step Name]:[Step Name]],0),MATCH('3a Step Method'!$D$8,Steps[#Headers],0))</definedName>
    <definedName name="fnStepNotAvail">"N/A at "&amp;HLOOKUP(LEFT('3a Step Method'!$D$8),{"S","M","L";"small scale","medium scale","large scale"},2,FALSE)</definedName>
    <definedName name="fnStepTemplates">OFFSET('3a Step Method'!$AA$1,0,0,COUNTIF('3a Step Method'!$C$1:$C$10208,"Step Method Template Name"),1)</definedName>
    <definedName name="GeneralExp">'3e OpEx'!$H$31</definedName>
    <definedName name="LaborFacTotal">'3b Equip'!$E$11</definedName>
    <definedName name="LaborHours">'1 Inputs'!$K$42</definedName>
    <definedName name="LSM">'3e OpEx'!$H$18</definedName>
    <definedName name="MassUnits">UnitConv[[MassNames]:[MassNames]]</definedName>
    <definedName name="MaterialsAnnualCost">'2 Materials'!$R$14</definedName>
    <definedName name="MaterialsUnitCost">'2 Materials'!$Q$14</definedName>
    <definedName name="MetalNames">#REF!</definedName>
    <definedName name="molar_volume_scf_def">'Materials Library'!$B$8</definedName>
    <definedName name="OutMassUnit">'1 Inputs'!$D$14</definedName>
    <definedName name="PlantLife">'1 Inputs'!$K$48</definedName>
    <definedName name="ProcEstApproach">'1 Inputs'!$K$12</definedName>
    <definedName name="RawMaterialNames">RawMaterials[[Material Name]:[Material Name]]</definedName>
    <definedName name="ROI">'1 Inputs'!$K$52</definedName>
    <definedName name="SpentDensNames">Spent4[Catalyst]</definedName>
    <definedName name="SpentHazNames">Spent3[Catalyst Hazard Class]</definedName>
    <definedName name="SpentMetals">Spent2[Metal]</definedName>
    <definedName name="SpentSupports">Spent1[Support]</definedName>
    <definedName name="SpentValue">'4 Spent Catalyst'!$D$47</definedName>
    <definedName name="StepCampaignTime">'1 Inputs'!$K$26</definedName>
    <definedName name="StepCampaignTotal">'3a Step Method'!$D$16</definedName>
    <definedName name="StepEquipSize">'1 Inputs'!$K$23</definedName>
    <definedName name="StepGnA">'1 Inputs'!$K$29</definedName>
    <definedName name="StepMargin">'1 Inputs'!$K$31</definedName>
    <definedName name="StepNames">Steps[Step Name]</definedName>
    <definedName name="StepOrderSize">'1 Inputs'!$K$22</definedName>
    <definedName name="StepOrderSizeOut">'3a Step Method'!$D$7</definedName>
    <definedName name="StepSARD">'1 Inputs'!$K$30</definedName>
    <definedName name="StepUnitTotal">'3a Step Method'!$D$17</definedName>
    <definedName name="TCI">'3d CapEx'!$H$30</definedName>
    <definedName name="TIRO">'3e OpEx'!$H$25</definedName>
    <definedName name="Units">UnitConv[[Unit]:[Unit]]</definedName>
    <definedName name="UtilitiesAnnualCost">'3c Utilities'!$N$20</definedName>
    <definedName name="UtilitiesUnitCost">'3c Utilities'!$M$20</definedName>
    <definedName name="Version">'0 Instructions'!$D$5</definedName>
    <definedName name="WorkingCapital">'3d CapEx'!$H$29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W629" i="6" l="1"/>
  <c r="AG629" i="6" s="1"/>
  <c r="AH629" i="6"/>
  <c r="W628" i="6"/>
  <c r="AG628" i="6" s="1"/>
  <c r="AH628" i="6"/>
  <c r="W627" i="6"/>
  <c r="AF627" i="6" s="1"/>
  <c r="AH627" i="6"/>
  <c r="W626" i="6"/>
  <c r="AG626" i="6" s="1"/>
  <c r="AH626" i="6"/>
  <c r="W625" i="6"/>
  <c r="AI625" i="6" s="1"/>
  <c r="AH625" i="6"/>
  <c r="W624" i="6"/>
  <c r="AG624" i="6" s="1"/>
  <c r="AH624" i="6"/>
  <c r="W623" i="6"/>
  <c r="AI623" i="6" s="1"/>
  <c r="AH623" i="6"/>
  <c r="W622" i="6"/>
  <c r="AI622" i="6" s="1"/>
  <c r="AH622" i="6"/>
  <c r="AF629" i="6" l="1"/>
  <c r="AI629" i="6"/>
  <c r="AF628" i="6"/>
  <c r="AG627" i="6"/>
  <c r="AI628" i="6"/>
  <c r="AI627" i="6"/>
  <c r="AI626" i="6"/>
  <c r="AF626" i="6"/>
  <c r="AI624" i="6"/>
  <c r="AG625" i="6"/>
  <c r="AF625" i="6"/>
  <c r="AF624" i="6"/>
  <c r="AF623" i="6"/>
  <c r="AG623" i="6"/>
  <c r="AG622" i="6"/>
  <c r="AF622" i="6"/>
  <c r="I55" i="3"/>
  <c r="I54" i="3"/>
  <c r="I53" i="3"/>
  <c r="I52" i="3"/>
  <c r="I51" i="3"/>
  <c r="I33" i="3"/>
  <c r="I34" i="3"/>
  <c r="I35" i="3"/>
  <c r="I36" i="3"/>
  <c r="I32" i="3"/>
  <c r="I22" i="3"/>
  <c r="I23" i="3"/>
  <c r="I24" i="3"/>
  <c r="I25" i="3"/>
  <c r="I21" i="3"/>
  <c r="C121" i="9" l="1"/>
  <c r="C68" i="9"/>
  <c r="D85" i="9" l="1"/>
  <c r="D43" i="9"/>
  <c r="D15" i="9"/>
  <c r="C83" i="9"/>
  <c r="C41" i="9"/>
  <c r="C13" i="9" l="1"/>
  <c r="C120" i="9" l="1"/>
  <c r="E92" i="9"/>
  <c r="D87" i="9"/>
  <c r="E90" i="9"/>
  <c r="E89" i="9"/>
  <c r="D89" i="9"/>
  <c r="C67" i="9"/>
  <c r="E45" i="9"/>
  <c r="E44" i="9"/>
  <c r="D44" i="9"/>
  <c r="D16" i="9"/>
  <c r="C49" i="9"/>
  <c r="C9" i="1" l="1"/>
  <c r="C8" i="1"/>
  <c r="K266" i="13" l="1"/>
  <c r="L266" i="13"/>
  <c r="K267" i="13"/>
  <c r="L267" i="13"/>
  <c r="K268" i="13"/>
  <c r="L268" i="13"/>
  <c r="K270" i="13"/>
  <c r="L270" i="13"/>
  <c r="K271" i="13"/>
  <c r="L271" i="13"/>
  <c r="K272" i="13"/>
  <c r="L272" i="13"/>
  <c r="K273" i="13"/>
  <c r="L273" i="13"/>
  <c r="K274" i="13"/>
  <c r="L274" i="13"/>
  <c r="K275" i="13"/>
  <c r="L275" i="13"/>
  <c r="K276" i="13"/>
  <c r="L276" i="13"/>
  <c r="K277" i="13"/>
  <c r="L277" i="13"/>
  <c r="K278" i="13"/>
  <c r="L278" i="13"/>
  <c r="K207" i="13"/>
  <c r="L207" i="13"/>
  <c r="K208" i="13"/>
  <c r="L208" i="13"/>
  <c r="K209" i="13"/>
  <c r="L209" i="13"/>
  <c r="K210" i="13"/>
  <c r="L210" i="13"/>
  <c r="K211" i="13"/>
  <c r="L211" i="13"/>
  <c r="K165" i="13"/>
  <c r="L165" i="13"/>
  <c r="K166" i="13"/>
  <c r="L166" i="13"/>
  <c r="K167" i="13"/>
  <c r="L167" i="13"/>
  <c r="K168" i="13"/>
  <c r="L168" i="13"/>
  <c r="K169" i="13"/>
  <c r="L169" i="13"/>
  <c r="K37" i="13"/>
  <c r="L37" i="13"/>
  <c r="K38" i="13"/>
  <c r="L38" i="13"/>
  <c r="K39" i="13"/>
  <c r="L39" i="13"/>
  <c r="K40" i="13"/>
  <c r="L40" i="13"/>
  <c r="K41" i="13"/>
  <c r="L41" i="13"/>
  <c r="K42" i="13"/>
  <c r="L42" i="13"/>
  <c r="K43" i="13"/>
  <c r="L43" i="13"/>
  <c r="K44" i="13"/>
  <c r="L44" i="13"/>
  <c r="K45" i="13"/>
  <c r="L45" i="13"/>
  <c r="K46" i="13"/>
  <c r="L46" i="13"/>
  <c r="K47" i="13"/>
  <c r="L47" i="13"/>
  <c r="K48" i="13"/>
  <c r="L48" i="13"/>
  <c r="K49" i="13"/>
  <c r="L49" i="13"/>
  <c r="K50" i="13"/>
  <c r="L50" i="13"/>
  <c r="K51" i="13"/>
  <c r="L51" i="13"/>
  <c r="K52" i="13"/>
  <c r="L52" i="13"/>
  <c r="K53" i="13"/>
  <c r="L53" i="13"/>
  <c r="K54" i="13"/>
  <c r="L54" i="13"/>
  <c r="K55" i="13"/>
  <c r="L55" i="13"/>
  <c r="K56" i="13"/>
  <c r="L56" i="13"/>
  <c r="K57" i="13"/>
  <c r="L57" i="13"/>
  <c r="K58" i="13"/>
  <c r="L58" i="13"/>
  <c r="K59" i="13"/>
  <c r="L59" i="13"/>
  <c r="K60" i="13"/>
  <c r="L60" i="13"/>
  <c r="K61" i="13"/>
  <c r="L61" i="13"/>
  <c r="K62" i="13"/>
  <c r="L62" i="13"/>
  <c r="K63" i="13"/>
  <c r="L63" i="13"/>
  <c r="K64" i="13"/>
  <c r="L64" i="13"/>
  <c r="K65" i="13"/>
  <c r="L65" i="13"/>
  <c r="K66" i="13"/>
  <c r="L66" i="13"/>
  <c r="K67" i="13"/>
  <c r="L67" i="13"/>
  <c r="K68" i="13"/>
  <c r="L68" i="13"/>
  <c r="K69" i="13"/>
  <c r="L69" i="13"/>
  <c r="K70" i="13"/>
  <c r="L70" i="13"/>
  <c r="K71" i="13"/>
  <c r="L71" i="13"/>
  <c r="K72" i="13"/>
  <c r="L72" i="13"/>
  <c r="K73" i="13"/>
  <c r="L73" i="13"/>
  <c r="K74" i="13"/>
  <c r="L74" i="13"/>
  <c r="K75" i="13"/>
  <c r="L75" i="13"/>
  <c r="L36" i="13"/>
  <c r="K36" i="13"/>
  <c r="L118" i="13"/>
  <c r="L119" i="13"/>
  <c r="L120" i="13"/>
  <c r="L121" i="13"/>
  <c r="L122" i="13"/>
  <c r="K118" i="13"/>
  <c r="K119" i="13"/>
  <c r="K120" i="13"/>
  <c r="K121" i="13"/>
  <c r="K122" i="13"/>
  <c r="N39" i="2"/>
  <c r="N37" i="2"/>
  <c r="N45" i="2"/>
  <c r="K269" i="13"/>
  <c r="L269" i="13"/>
  <c r="G7" i="3" l="1"/>
  <c r="G12" i="3"/>
  <c r="G11" i="3"/>
  <c r="E7" i="22"/>
  <c r="E450" i="22" l="1"/>
  <c r="E451" i="22"/>
  <c r="E452" i="22"/>
  <c r="E453" i="22"/>
  <c r="E454" i="22"/>
  <c r="E455" i="22"/>
  <c r="E415" i="22"/>
  <c r="E416" i="22"/>
  <c r="E417" i="22"/>
  <c r="E418" i="22"/>
  <c r="E419" i="22"/>
  <c r="E420" i="22"/>
  <c r="E421" i="22"/>
  <c r="E422" i="22"/>
  <c r="E385" i="22"/>
  <c r="E386" i="22"/>
  <c r="E387" i="22"/>
  <c r="E388" i="22"/>
  <c r="E389" i="22"/>
  <c r="E346" i="22"/>
  <c r="E347" i="22"/>
  <c r="E348" i="22"/>
  <c r="E349" i="22"/>
  <c r="E350" i="22"/>
  <c r="E304" i="22"/>
  <c r="E305" i="22"/>
  <c r="E306" i="22"/>
  <c r="E307" i="22"/>
  <c r="E308" i="22"/>
  <c r="E309" i="22"/>
  <c r="E310" i="22"/>
  <c r="E311" i="22"/>
  <c r="E312" i="22"/>
  <c r="E313" i="22"/>
  <c r="E314" i="22"/>
  <c r="E315" i="22"/>
  <c r="E272" i="22"/>
  <c r="E273" i="22"/>
  <c r="E274" i="22"/>
  <c r="E275" i="22"/>
  <c r="E276" i="22"/>
  <c r="E277" i="22"/>
  <c r="E278" i="22"/>
  <c r="E279" i="22"/>
  <c r="E280" i="22"/>
  <c r="E281" i="22"/>
  <c r="E282" i="22"/>
  <c r="E237" i="22"/>
  <c r="E238" i="22"/>
  <c r="E239" i="22"/>
  <c r="E240" i="22"/>
  <c r="E241" i="22"/>
  <c r="E242" i="22"/>
  <c r="E243" i="22"/>
  <c r="E244" i="22"/>
  <c r="E245" i="22"/>
  <c r="E246" i="22"/>
  <c r="E247" i="22"/>
  <c r="E248" i="22"/>
  <c r="E249" i="22"/>
  <c r="E208" i="22"/>
  <c r="E209" i="22"/>
  <c r="E210" i="22"/>
  <c r="E211" i="22"/>
  <c r="E212" i="22"/>
  <c r="E213" i="22"/>
  <c r="E214" i="22"/>
  <c r="E215" i="22"/>
  <c r="E216" i="22"/>
  <c r="E177" i="22"/>
  <c r="E178" i="22"/>
  <c r="E179" i="22"/>
  <c r="E180" i="22"/>
  <c r="E181" i="22"/>
  <c r="E182" i="22"/>
  <c r="E183" i="22"/>
  <c r="E141" i="22"/>
  <c r="E142" i="22"/>
  <c r="E143" i="22"/>
  <c r="E144" i="22"/>
  <c r="E145" i="22"/>
  <c r="E146" i="22"/>
  <c r="E147" i="22"/>
  <c r="E148" i="22"/>
  <c r="E149" i="22"/>
  <c r="E150" i="22"/>
  <c r="E111" i="22"/>
  <c r="E112" i="22"/>
  <c r="E113" i="22"/>
  <c r="E114" i="22"/>
  <c r="E115" i="22"/>
  <c r="E116" i="22"/>
  <c r="E117" i="22"/>
  <c r="E81" i="22"/>
  <c r="E82" i="22"/>
  <c r="E83" i="22"/>
  <c r="E84" i="22"/>
  <c r="E35" i="22"/>
  <c r="E36" i="22"/>
  <c r="E37" i="22"/>
  <c r="E38" i="22"/>
  <c r="E39" i="22"/>
  <c r="E40" i="22"/>
  <c r="E41" i="22"/>
  <c r="E42" i="22"/>
  <c r="E43" i="22"/>
  <c r="E44" i="22"/>
  <c r="E45" i="22"/>
  <c r="E46" i="22"/>
  <c r="E47" i="22"/>
  <c r="E48" i="22"/>
  <c r="E49" i="22"/>
  <c r="D6" i="22" l="1"/>
  <c r="K23" i="2"/>
  <c r="K25" i="2"/>
  <c r="K24" i="2"/>
  <c r="K26" i="2" l="1"/>
  <c r="B1" i="9" l="1"/>
  <c r="B1" i="23"/>
  <c r="B1" i="11"/>
  <c r="B1" i="12"/>
  <c r="B1" i="18"/>
  <c r="B1" i="13"/>
  <c r="B1" i="22"/>
  <c r="B1" i="3"/>
  <c r="B1" i="2"/>
  <c r="K31" i="2" l="1"/>
  <c r="W55" i="6" l="1"/>
  <c r="AF55" i="6" s="1"/>
  <c r="W142" i="6"/>
  <c r="AI142" i="6" s="1"/>
  <c r="W143" i="6"/>
  <c r="AF143" i="6" s="1"/>
  <c r="W224" i="6"/>
  <c r="AG224" i="6" s="1"/>
  <c r="W240" i="6"/>
  <c r="AG240" i="6" s="1"/>
  <c r="W241" i="6"/>
  <c r="AF241" i="6" s="1"/>
  <c r="W329" i="6"/>
  <c r="AF329" i="6" s="1"/>
  <c r="W349" i="6"/>
  <c r="AF349" i="6" s="1"/>
  <c r="W359" i="6"/>
  <c r="AG359" i="6" s="1"/>
  <c r="W400" i="6"/>
  <c r="AG400" i="6" s="1"/>
  <c r="W476" i="6"/>
  <c r="AG476" i="6" s="1"/>
  <c r="W477" i="6"/>
  <c r="AF477" i="6" s="1"/>
  <c r="W488" i="6"/>
  <c r="AI488" i="6" s="1"/>
  <c r="W600" i="6"/>
  <c r="AI600" i="6" s="1"/>
  <c r="AF359" i="6"/>
  <c r="AG55" i="6"/>
  <c r="AH55" i="6"/>
  <c r="AH142" i="6"/>
  <c r="AH143" i="6"/>
  <c r="AH224" i="6"/>
  <c r="AH240" i="6"/>
  <c r="AH241" i="6"/>
  <c r="AH329" i="6"/>
  <c r="AH349" i="6"/>
  <c r="AH359" i="6"/>
  <c r="AH400" i="6"/>
  <c r="AH476" i="6"/>
  <c r="AH477" i="6"/>
  <c r="AH488" i="6"/>
  <c r="AH600" i="6"/>
  <c r="AI55" i="6"/>
  <c r="AI143" i="6"/>
  <c r="AI359" i="6" l="1"/>
  <c r="AI400" i="6"/>
  <c r="AF224" i="6"/>
  <c r="AF400" i="6"/>
  <c r="AI476" i="6"/>
  <c r="AF240" i="6"/>
  <c r="AF476" i="6"/>
  <c r="AG143" i="6"/>
  <c r="AF488" i="6"/>
  <c r="AI224" i="6"/>
  <c r="AF600" i="6"/>
  <c r="AG488" i="6"/>
  <c r="AG600" i="6"/>
  <c r="AG477" i="6"/>
  <c r="AI477" i="6"/>
  <c r="AI240" i="6"/>
  <c r="AG349" i="6"/>
  <c r="AG241" i="6"/>
  <c r="AI349" i="6"/>
  <c r="AI329" i="6"/>
  <c r="AG329" i="6"/>
  <c r="AI241" i="6"/>
  <c r="AF142" i="6"/>
  <c r="AG142" i="6"/>
  <c r="C6" i="18"/>
  <c r="W17" i="6"/>
  <c r="AG17" i="6" s="1"/>
  <c r="W18" i="6"/>
  <c r="AF18" i="6" s="1"/>
  <c r="W19" i="6"/>
  <c r="AI19" i="6" s="1"/>
  <c r="W20" i="6"/>
  <c r="AG20" i="6" s="1"/>
  <c r="W21" i="6"/>
  <c r="AI21" i="6" s="1"/>
  <c r="W22" i="6"/>
  <c r="W23" i="6"/>
  <c r="AF23" i="6" s="1"/>
  <c r="W24" i="6"/>
  <c r="AI24" i="6" s="1"/>
  <c r="W25" i="6"/>
  <c r="AG25" i="6" s="1"/>
  <c r="W26" i="6"/>
  <c r="AI26" i="6" s="1"/>
  <c r="W27" i="6"/>
  <c r="AI27" i="6" s="1"/>
  <c r="W28" i="6"/>
  <c r="AF28" i="6" s="1"/>
  <c r="W29" i="6"/>
  <c r="AI29" i="6" s="1"/>
  <c r="W30" i="6"/>
  <c r="W31" i="6"/>
  <c r="AF31" i="6" s="1"/>
  <c r="W32" i="6"/>
  <c r="AI32" i="6" s="1"/>
  <c r="W33" i="6"/>
  <c r="AF33" i="6" s="1"/>
  <c r="W34" i="6"/>
  <c r="AF34" i="6" s="1"/>
  <c r="W35" i="6"/>
  <c r="AI35" i="6" s="1"/>
  <c r="W36" i="6"/>
  <c r="AI36" i="6" s="1"/>
  <c r="W37" i="6"/>
  <c r="AF37" i="6" s="1"/>
  <c r="W38" i="6"/>
  <c r="W39" i="6"/>
  <c r="W40" i="6"/>
  <c r="AI40" i="6" s="1"/>
  <c r="W41" i="6"/>
  <c r="AI41" i="6" s="1"/>
  <c r="W42" i="6"/>
  <c r="AI42" i="6" s="1"/>
  <c r="W43" i="6"/>
  <c r="AI43" i="6" s="1"/>
  <c r="W44" i="6"/>
  <c r="AG44" i="6" s="1"/>
  <c r="W45" i="6"/>
  <c r="AI45" i="6" s="1"/>
  <c r="W46" i="6"/>
  <c r="W47" i="6"/>
  <c r="W48" i="6"/>
  <c r="AI48" i="6" s="1"/>
  <c r="W49" i="6"/>
  <c r="AG49" i="6" s="1"/>
  <c r="W50" i="6"/>
  <c r="AF50" i="6" s="1"/>
  <c r="W51" i="6"/>
  <c r="AI51" i="6" s="1"/>
  <c r="W52" i="6"/>
  <c r="AF52" i="6" s="1"/>
  <c r="W53" i="6"/>
  <c r="W54" i="6"/>
  <c r="W56" i="6"/>
  <c r="AI56" i="6" s="1"/>
  <c r="W57" i="6"/>
  <c r="AG57" i="6" s="1"/>
  <c r="W58" i="6"/>
  <c r="AF58" i="6" s="1"/>
  <c r="W59" i="6"/>
  <c r="AI59" i="6" s="1"/>
  <c r="W60" i="6"/>
  <c r="AF60" i="6" s="1"/>
  <c r="W61" i="6"/>
  <c r="AI61" i="6" s="1"/>
  <c r="W62" i="6"/>
  <c r="W63" i="6"/>
  <c r="W64" i="6"/>
  <c r="AF64" i="6" s="1"/>
  <c r="W65" i="6"/>
  <c r="AG65" i="6" s="1"/>
  <c r="W66" i="6"/>
  <c r="AI66" i="6" s="1"/>
  <c r="W67" i="6"/>
  <c r="AI67" i="6" s="1"/>
  <c r="W68" i="6"/>
  <c r="AI68" i="6" s="1"/>
  <c r="W69" i="6"/>
  <c r="AG69" i="6" s="1"/>
  <c r="W70" i="6"/>
  <c r="W71" i="6"/>
  <c r="W72" i="6"/>
  <c r="AF72" i="6" s="1"/>
  <c r="W73" i="6"/>
  <c r="AI73" i="6" s="1"/>
  <c r="W74" i="6"/>
  <c r="AG74" i="6" s="1"/>
  <c r="W75" i="6"/>
  <c r="AF75" i="6" s="1"/>
  <c r="W76" i="6"/>
  <c r="AF76" i="6" s="1"/>
  <c r="W77" i="6"/>
  <c r="AF77" i="6" s="1"/>
  <c r="W78" i="6"/>
  <c r="AI78" i="6" s="1"/>
  <c r="W79" i="6"/>
  <c r="W80" i="6"/>
  <c r="AF80" i="6" s="1"/>
  <c r="W81" i="6"/>
  <c r="AI81" i="6" s="1"/>
  <c r="W82" i="6"/>
  <c r="AF82" i="6" s="1"/>
  <c r="W83" i="6"/>
  <c r="AI83" i="6" s="1"/>
  <c r="W84" i="6"/>
  <c r="AI84" i="6" s="1"/>
  <c r="W85" i="6"/>
  <c r="AI85" i="6" s="1"/>
  <c r="W86" i="6"/>
  <c r="AI86" i="6" s="1"/>
  <c r="W87" i="6"/>
  <c r="W88" i="6"/>
  <c r="AG88" i="6" s="1"/>
  <c r="W89" i="6"/>
  <c r="AF89" i="6" s="1"/>
  <c r="W90" i="6"/>
  <c r="AI90" i="6" s="1"/>
  <c r="W91" i="6"/>
  <c r="AF91" i="6" s="1"/>
  <c r="W92" i="6"/>
  <c r="AF92" i="6" s="1"/>
  <c r="W93" i="6"/>
  <c r="W94" i="6"/>
  <c r="W95" i="6"/>
  <c r="W96" i="6"/>
  <c r="AF96" i="6" s="1"/>
  <c r="W97" i="6"/>
  <c r="AG97" i="6" s="1"/>
  <c r="W98" i="6"/>
  <c r="AG98" i="6" s="1"/>
  <c r="W99" i="6"/>
  <c r="AI99" i="6" s="1"/>
  <c r="W100" i="6"/>
  <c r="AF100" i="6" s="1"/>
  <c r="W101" i="6"/>
  <c r="W102" i="6"/>
  <c r="W103" i="6"/>
  <c r="AI103" i="6" s="1"/>
  <c r="W104" i="6"/>
  <c r="AG104" i="6" s="1"/>
  <c r="W105" i="6"/>
  <c r="AI105" i="6" s="1"/>
  <c r="W106" i="6"/>
  <c r="AF106" i="6" s="1"/>
  <c r="W107" i="6"/>
  <c r="AI107" i="6" s="1"/>
  <c r="W108" i="6"/>
  <c r="AI108" i="6" s="1"/>
  <c r="W109" i="6"/>
  <c r="W110" i="6"/>
  <c r="W111" i="6"/>
  <c r="AI111" i="6" s="1"/>
  <c r="W112" i="6"/>
  <c r="AG112" i="6" s="1"/>
  <c r="W113" i="6"/>
  <c r="AI113" i="6" s="1"/>
  <c r="W114" i="6"/>
  <c r="AI114" i="6" s="1"/>
  <c r="W115" i="6"/>
  <c r="AF115" i="6" s="1"/>
  <c r="W116" i="6"/>
  <c r="AF116" i="6" s="1"/>
  <c r="W117" i="6"/>
  <c r="AG117" i="6" s="1"/>
  <c r="W118" i="6"/>
  <c r="AG118" i="6" s="1"/>
  <c r="W119" i="6"/>
  <c r="AI119" i="6" s="1"/>
  <c r="W120" i="6"/>
  <c r="AF120" i="6" s="1"/>
  <c r="W121" i="6"/>
  <c r="AF121" i="6" s="1"/>
  <c r="W122" i="6"/>
  <c r="W123" i="6"/>
  <c r="W124" i="6"/>
  <c r="AI124" i="6" s="1"/>
  <c r="W125" i="6"/>
  <c r="AI125" i="6" s="1"/>
  <c r="W126" i="6"/>
  <c r="AI126" i="6" s="1"/>
  <c r="W127" i="6"/>
  <c r="AI127" i="6" s="1"/>
  <c r="W128" i="6"/>
  <c r="AF128" i="6" s="1"/>
  <c r="W129" i="6"/>
  <c r="AG129" i="6" s="1"/>
  <c r="W130" i="6"/>
  <c r="W131" i="6"/>
  <c r="AF131" i="6" s="1"/>
  <c r="W132" i="6"/>
  <c r="AG132" i="6" s="1"/>
  <c r="W133" i="6"/>
  <c r="AG133" i="6" s="1"/>
  <c r="W134" i="6"/>
  <c r="AI134" i="6" s="1"/>
  <c r="W135" i="6"/>
  <c r="W136" i="6"/>
  <c r="AF136" i="6" s="1"/>
  <c r="W137" i="6"/>
  <c r="AI137" i="6" s="1"/>
  <c r="W138" i="6"/>
  <c r="W139" i="6"/>
  <c r="W140" i="6"/>
  <c r="AG140" i="6" s="1"/>
  <c r="W141" i="6"/>
  <c r="AI141" i="6" s="1"/>
  <c r="W144" i="6"/>
  <c r="AF144" i="6" s="1"/>
  <c r="W145" i="6"/>
  <c r="AI145" i="6" s="1"/>
  <c r="W146" i="6"/>
  <c r="AI146" i="6" s="1"/>
  <c r="W147" i="6"/>
  <c r="AI147" i="6" s="1"/>
  <c r="W148" i="6"/>
  <c r="AI148" i="6" s="1"/>
  <c r="W149" i="6"/>
  <c r="W150" i="6"/>
  <c r="W151" i="6"/>
  <c r="AF151" i="6" s="1"/>
  <c r="W152" i="6"/>
  <c r="AI152" i="6" s="1"/>
  <c r="W153" i="6"/>
  <c r="AG153" i="6" s="1"/>
  <c r="W154" i="6"/>
  <c r="AG154" i="6" s="1"/>
  <c r="W155" i="6"/>
  <c r="AF155" i="6" s="1"/>
  <c r="W156" i="6"/>
  <c r="AF156" i="6" s="1"/>
  <c r="W157" i="6"/>
  <c r="W158" i="6"/>
  <c r="AF158" i="6" s="1"/>
  <c r="W159" i="6"/>
  <c r="AI159" i="6" s="1"/>
  <c r="W160" i="6"/>
  <c r="AG160" i="6" s="1"/>
  <c r="W161" i="6"/>
  <c r="W162" i="6"/>
  <c r="AG162" i="6" s="1"/>
  <c r="W163" i="6"/>
  <c r="AG163" i="6" s="1"/>
  <c r="W164" i="6"/>
  <c r="AF164" i="6" s="1"/>
  <c r="W165" i="6"/>
  <c r="W166" i="6"/>
  <c r="W167" i="6"/>
  <c r="AF167" i="6" s="1"/>
  <c r="W168" i="6"/>
  <c r="AI168" i="6" s="1"/>
  <c r="W169" i="6"/>
  <c r="AI169" i="6" s="1"/>
  <c r="W170" i="6"/>
  <c r="AF170" i="6" s="1"/>
  <c r="W171" i="6"/>
  <c r="AG171" i="6" s="1"/>
  <c r="W172" i="6"/>
  <c r="AG172" i="6" s="1"/>
  <c r="W173" i="6"/>
  <c r="W174" i="6"/>
  <c r="W175" i="6"/>
  <c r="AI175" i="6" s="1"/>
  <c r="W176" i="6"/>
  <c r="AI176" i="6" s="1"/>
  <c r="W177" i="6"/>
  <c r="AI177" i="6" s="1"/>
  <c r="W178" i="6"/>
  <c r="AF178" i="6" s="1"/>
  <c r="W179" i="6"/>
  <c r="AI179" i="6" s="1"/>
  <c r="W180" i="6"/>
  <c r="W181" i="6"/>
  <c r="AF181" i="6" s="1"/>
  <c r="W182" i="6"/>
  <c r="AF182" i="6" s="1"/>
  <c r="W183" i="6"/>
  <c r="AF183" i="6" s="1"/>
  <c r="W184" i="6"/>
  <c r="AG184" i="6" s="1"/>
  <c r="W185" i="6"/>
  <c r="AF185" i="6" s="1"/>
  <c r="W186" i="6"/>
  <c r="AF186" i="6" s="1"/>
  <c r="W187" i="6"/>
  <c r="AF187" i="6" s="1"/>
  <c r="W188" i="6"/>
  <c r="W189" i="6"/>
  <c r="AG189" i="6" s="1"/>
  <c r="W190" i="6"/>
  <c r="AI190" i="6" s="1"/>
  <c r="W191" i="6"/>
  <c r="AI191" i="6" s="1"/>
  <c r="W192" i="6"/>
  <c r="AF192" i="6" s="1"/>
  <c r="W193" i="6"/>
  <c r="AF193" i="6" s="1"/>
  <c r="W194" i="6"/>
  <c r="AF194" i="6" s="1"/>
  <c r="W195" i="6"/>
  <c r="AG195" i="6" s="1"/>
  <c r="W196" i="6"/>
  <c r="W197" i="6"/>
  <c r="W198" i="6"/>
  <c r="AF198" i="6" s="1"/>
  <c r="W199" i="6"/>
  <c r="AF199" i="6" s="1"/>
  <c r="W200" i="6"/>
  <c r="AI200" i="6" s="1"/>
  <c r="W201" i="6"/>
  <c r="AF201" i="6" s="1"/>
  <c r="W202" i="6"/>
  <c r="AG202" i="6" s="1"/>
  <c r="W203" i="6"/>
  <c r="AG203" i="6" s="1"/>
  <c r="W204" i="6"/>
  <c r="AF204" i="6" s="1"/>
  <c r="W205" i="6"/>
  <c r="AF205" i="6" s="1"/>
  <c r="W206" i="6"/>
  <c r="AG206" i="6" s="1"/>
  <c r="W207" i="6"/>
  <c r="AF207" i="6" s="1"/>
  <c r="W208" i="6"/>
  <c r="AF208" i="6" s="1"/>
  <c r="W209" i="6"/>
  <c r="W210" i="6"/>
  <c r="AG210" i="6" s="1"/>
  <c r="W211" i="6"/>
  <c r="AI211" i="6" s="1"/>
  <c r="W212" i="6"/>
  <c r="AF212" i="6" s="1"/>
  <c r="W213" i="6"/>
  <c r="AF213" i="6" s="1"/>
  <c r="W214" i="6"/>
  <c r="AF214" i="6" s="1"/>
  <c r="W215" i="6"/>
  <c r="AI215" i="6" s="1"/>
  <c r="W216" i="6"/>
  <c r="AI216" i="6" s="1"/>
  <c r="W217" i="6"/>
  <c r="AF217" i="6" s="1"/>
  <c r="W218" i="6"/>
  <c r="AF218" i="6" s="1"/>
  <c r="W219" i="6"/>
  <c r="W220" i="6"/>
  <c r="W221" i="6"/>
  <c r="AF221" i="6" s="1"/>
  <c r="W222" i="6"/>
  <c r="AG222" i="6" s="1"/>
  <c r="W223" i="6"/>
  <c r="AF223" i="6" s="1"/>
  <c r="W225" i="6"/>
  <c r="W226" i="6"/>
  <c r="AI226" i="6" s="1"/>
  <c r="W227" i="6"/>
  <c r="AF227" i="6" s="1"/>
  <c r="W228" i="6"/>
  <c r="AG228" i="6" s="1"/>
  <c r="W229" i="6"/>
  <c r="AG229" i="6" s="1"/>
  <c r="W230" i="6"/>
  <c r="AF230" i="6" s="1"/>
  <c r="W231" i="6"/>
  <c r="W232" i="6"/>
  <c r="AF232" i="6" s="1"/>
  <c r="W233" i="6"/>
  <c r="AI233" i="6" s="1"/>
  <c r="W234" i="6"/>
  <c r="W235" i="6"/>
  <c r="AF235" i="6" s="1"/>
  <c r="W236" i="6"/>
  <c r="AG236" i="6" s="1"/>
  <c r="W237" i="6"/>
  <c r="AF237" i="6" s="1"/>
  <c r="W238" i="6"/>
  <c r="W239" i="6"/>
  <c r="AG239" i="6" s="1"/>
  <c r="W242" i="6"/>
  <c r="AF242" i="6" s="1"/>
  <c r="W243" i="6"/>
  <c r="AI243" i="6" s="1"/>
  <c r="W244" i="6"/>
  <c r="AF244" i="6" s="1"/>
  <c r="W245" i="6"/>
  <c r="AF245" i="6" s="1"/>
  <c r="W246" i="6"/>
  <c r="AG246" i="6" s="1"/>
  <c r="W247" i="6"/>
  <c r="W248" i="6"/>
  <c r="W249" i="6"/>
  <c r="AF249" i="6" s="1"/>
  <c r="W250" i="6"/>
  <c r="AG250" i="6" s="1"/>
  <c r="W251" i="6"/>
  <c r="AG251" i="6" s="1"/>
  <c r="W252" i="6"/>
  <c r="AF252" i="6" s="1"/>
  <c r="W253" i="6"/>
  <c r="AF253" i="6" s="1"/>
  <c r="W254" i="6"/>
  <c r="W255" i="6"/>
  <c r="W256" i="6"/>
  <c r="AF256" i="6" s="1"/>
  <c r="W257" i="6"/>
  <c r="AF257" i="6" s="1"/>
  <c r="W258" i="6"/>
  <c r="AF258" i="6" s="1"/>
  <c r="W259" i="6"/>
  <c r="AF259" i="6" s="1"/>
  <c r="W260" i="6"/>
  <c r="W261" i="6"/>
  <c r="AF261" i="6" s="1"/>
  <c r="W262" i="6"/>
  <c r="AI262" i="6" s="1"/>
  <c r="W263" i="6"/>
  <c r="AF263" i="6" s="1"/>
  <c r="W264" i="6"/>
  <c r="AI264" i="6" s="1"/>
  <c r="W265" i="6"/>
  <c r="AG265" i="6" s="1"/>
  <c r="W266" i="6"/>
  <c r="AG266" i="6" s="1"/>
  <c r="W267" i="6"/>
  <c r="AI267" i="6" s="1"/>
  <c r="W268" i="6"/>
  <c r="AF268" i="6" s="1"/>
  <c r="W269" i="6"/>
  <c r="AG269" i="6" s="1"/>
  <c r="W270" i="6"/>
  <c r="AG270" i="6" s="1"/>
  <c r="W271" i="6"/>
  <c r="W272" i="6"/>
  <c r="AI272" i="6" s="1"/>
  <c r="W273" i="6"/>
  <c r="AF273" i="6" s="1"/>
  <c r="W274" i="6"/>
  <c r="AF274" i="6" s="1"/>
  <c r="W275" i="6"/>
  <c r="AI275" i="6" s="1"/>
  <c r="W276" i="6"/>
  <c r="W277" i="6"/>
  <c r="AI277" i="6" s="1"/>
  <c r="W278" i="6"/>
  <c r="W279" i="6"/>
  <c r="AF279" i="6" s="1"/>
  <c r="W280" i="6"/>
  <c r="AF280" i="6" s="1"/>
  <c r="W281" i="6"/>
  <c r="AI281" i="6" s="1"/>
  <c r="W282" i="6"/>
  <c r="AG282" i="6" s="1"/>
  <c r="W283" i="6"/>
  <c r="AG283" i="6" s="1"/>
  <c r="W284" i="6"/>
  <c r="AF284" i="6" s="1"/>
  <c r="W285" i="6"/>
  <c r="AF285" i="6" s="1"/>
  <c r="W286" i="6"/>
  <c r="W287" i="6"/>
  <c r="AG287" i="6" s="1"/>
  <c r="W288" i="6"/>
  <c r="AG288" i="6" s="1"/>
  <c r="W289" i="6"/>
  <c r="AG289" i="6" s="1"/>
  <c r="W290" i="6"/>
  <c r="AF290" i="6" s="1"/>
  <c r="W291" i="6"/>
  <c r="AF291" i="6" s="1"/>
  <c r="W292" i="6"/>
  <c r="AF292" i="6" s="1"/>
  <c r="W293" i="6"/>
  <c r="AF293" i="6" s="1"/>
  <c r="W294" i="6"/>
  <c r="W295" i="6"/>
  <c r="AI295" i="6" s="1"/>
  <c r="W296" i="6"/>
  <c r="AF296" i="6" s="1"/>
  <c r="W297" i="6"/>
  <c r="AF297" i="6" s="1"/>
  <c r="W298" i="6"/>
  <c r="AG298" i="6" s="1"/>
  <c r="W299" i="6"/>
  <c r="AI299" i="6" s="1"/>
  <c r="W300" i="6"/>
  <c r="AI300" i="6" s="1"/>
  <c r="W301" i="6"/>
  <c r="W302" i="6"/>
  <c r="W303" i="6"/>
  <c r="AF303" i="6" s="1"/>
  <c r="W304" i="6"/>
  <c r="AI304" i="6" s="1"/>
  <c r="W305" i="6"/>
  <c r="AI305" i="6" s="1"/>
  <c r="W306" i="6"/>
  <c r="AF306" i="6" s="1"/>
  <c r="W307" i="6"/>
  <c r="AI307" i="6" s="1"/>
  <c r="W308" i="6"/>
  <c r="AF308" i="6" s="1"/>
  <c r="W309" i="6"/>
  <c r="W310" i="6"/>
  <c r="AF310" i="6" s="1"/>
  <c r="W311" i="6"/>
  <c r="AI311" i="6" s="1"/>
  <c r="W312" i="6"/>
  <c r="AG312" i="6" s="1"/>
  <c r="W313" i="6"/>
  <c r="AG313" i="6" s="1"/>
  <c r="W314" i="6"/>
  <c r="AG314" i="6" s="1"/>
  <c r="W315" i="6"/>
  <c r="AF315" i="6" s="1"/>
  <c r="W316" i="6"/>
  <c r="AI316" i="6" s="1"/>
  <c r="W317" i="6"/>
  <c r="W318" i="6"/>
  <c r="W319" i="6"/>
  <c r="AI319" i="6" s="1"/>
  <c r="W320" i="6"/>
  <c r="AG320" i="6" s="1"/>
  <c r="W321" i="6"/>
  <c r="AF321" i="6" s="1"/>
  <c r="W322" i="6"/>
  <c r="AI322" i="6" s="1"/>
  <c r="W323" i="6"/>
  <c r="AI323" i="6" s="1"/>
  <c r="W324" i="6"/>
  <c r="AF324" i="6" s="1"/>
  <c r="W325" i="6"/>
  <c r="W326" i="6"/>
  <c r="W327" i="6"/>
  <c r="AI327" i="6" s="1"/>
  <c r="W328" i="6"/>
  <c r="AI328" i="6" s="1"/>
  <c r="W330" i="6"/>
  <c r="AI330" i="6" s="1"/>
  <c r="W331" i="6"/>
  <c r="AF331" i="6" s="1"/>
  <c r="W332" i="6"/>
  <c r="AI332" i="6" s="1"/>
  <c r="W333" i="6"/>
  <c r="W334" i="6"/>
  <c r="W335" i="6"/>
  <c r="AG335" i="6" s="1"/>
  <c r="W336" i="6"/>
  <c r="AF336" i="6" s="1"/>
  <c r="W337" i="6"/>
  <c r="AG337" i="6" s="1"/>
  <c r="W338" i="6"/>
  <c r="AG338" i="6" s="1"/>
  <c r="W339" i="6"/>
  <c r="AI339" i="6" s="1"/>
  <c r="W340" i="6"/>
  <c r="AI340" i="6" s="1"/>
  <c r="W341" i="6"/>
  <c r="AI341" i="6" s="1"/>
  <c r="W342" i="6"/>
  <c r="AF342" i="6" s="1"/>
  <c r="W343" i="6"/>
  <c r="AI343" i="6" s="1"/>
  <c r="W344" i="6"/>
  <c r="W345" i="6"/>
  <c r="AG345" i="6" s="1"/>
  <c r="W346" i="6"/>
  <c r="AF346" i="6" s="1"/>
  <c r="W347" i="6"/>
  <c r="AF347" i="6" s="1"/>
  <c r="W348" i="6"/>
  <c r="AI348" i="6" s="1"/>
  <c r="W350" i="6"/>
  <c r="W351" i="6"/>
  <c r="W352" i="6"/>
  <c r="W353" i="6"/>
  <c r="AI353" i="6" s="1"/>
  <c r="W354" i="6"/>
  <c r="AF354" i="6" s="1"/>
  <c r="W355" i="6"/>
  <c r="AF355" i="6" s="1"/>
  <c r="W356" i="6"/>
  <c r="AI356" i="6" s="1"/>
  <c r="W357" i="6"/>
  <c r="AF357" i="6" s="1"/>
  <c r="W358" i="6"/>
  <c r="AF358" i="6" s="1"/>
  <c r="W360" i="6"/>
  <c r="AI360" i="6" s="1"/>
  <c r="W361" i="6"/>
  <c r="AF361" i="6" s="1"/>
  <c r="W362" i="6"/>
  <c r="AF362" i="6" s="1"/>
  <c r="W363" i="6"/>
  <c r="AG363" i="6" s="1"/>
  <c r="W364" i="6"/>
  <c r="AI364" i="6" s="1"/>
  <c r="W365" i="6"/>
  <c r="AF365" i="6" s="1"/>
  <c r="W366" i="6"/>
  <c r="AF366" i="6" s="1"/>
  <c r="W367" i="6"/>
  <c r="AF367" i="6" s="1"/>
  <c r="W368" i="6"/>
  <c r="AF368" i="6" s="1"/>
  <c r="W369" i="6"/>
  <c r="W370" i="6"/>
  <c r="W371" i="6"/>
  <c r="W372" i="6"/>
  <c r="AF372" i="6" s="1"/>
  <c r="W373" i="6"/>
  <c r="AF373" i="6" s="1"/>
  <c r="W374" i="6"/>
  <c r="AI374" i="6" s="1"/>
  <c r="W375" i="6"/>
  <c r="AF375" i="6" s="1"/>
  <c r="W376" i="6"/>
  <c r="AF376" i="6" s="1"/>
  <c r="W377" i="6"/>
  <c r="AF377" i="6" s="1"/>
  <c r="W378" i="6"/>
  <c r="AG378" i="6" s="1"/>
  <c r="W379" i="6"/>
  <c r="W380" i="6"/>
  <c r="W381" i="6"/>
  <c r="AG381" i="6" s="1"/>
  <c r="W382" i="6"/>
  <c r="AI382" i="6" s="1"/>
  <c r="W383" i="6"/>
  <c r="AI383" i="6" s="1"/>
  <c r="W384" i="6"/>
  <c r="AF384" i="6" s="1"/>
  <c r="W385" i="6"/>
  <c r="AG385" i="6" s="1"/>
  <c r="W386" i="6"/>
  <c r="AG386" i="6" s="1"/>
  <c r="W387" i="6"/>
  <c r="W388" i="6"/>
  <c r="W389" i="6"/>
  <c r="AI389" i="6" s="1"/>
  <c r="W390" i="6"/>
  <c r="AF390" i="6" s="1"/>
  <c r="W391" i="6"/>
  <c r="AF391" i="6" s="1"/>
  <c r="W392" i="6"/>
  <c r="AF392" i="6" s="1"/>
  <c r="W393" i="6"/>
  <c r="AG393" i="6" s="1"/>
  <c r="W394" i="6"/>
  <c r="AG394" i="6" s="1"/>
  <c r="W395" i="6"/>
  <c r="W396" i="6"/>
  <c r="W397" i="6"/>
  <c r="AG397" i="6" s="1"/>
  <c r="W398" i="6"/>
  <c r="AG398" i="6" s="1"/>
  <c r="W399" i="6"/>
  <c r="W401" i="6"/>
  <c r="AF401" i="6" s="1"/>
  <c r="W402" i="6"/>
  <c r="AF402" i="6" s="1"/>
  <c r="W403" i="6"/>
  <c r="AF403" i="6" s="1"/>
  <c r="W404" i="6"/>
  <c r="W405" i="6"/>
  <c r="W406" i="6"/>
  <c r="AI406" i="6" s="1"/>
  <c r="W407" i="6"/>
  <c r="AI407" i="6" s="1"/>
  <c r="W408" i="6"/>
  <c r="AG408" i="6" s="1"/>
  <c r="W409" i="6"/>
  <c r="AF409" i="6" s="1"/>
  <c r="W410" i="6"/>
  <c r="AG410" i="6" s="1"/>
  <c r="W411" i="6"/>
  <c r="AI411" i="6" s="1"/>
  <c r="W412" i="6"/>
  <c r="W413" i="6"/>
  <c r="AF413" i="6" s="1"/>
  <c r="W414" i="6"/>
  <c r="AF414" i="6" s="1"/>
  <c r="W415" i="6"/>
  <c r="AI415" i="6" s="1"/>
  <c r="W416" i="6"/>
  <c r="W417" i="6"/>
  <c r="AF417" i="6" s="1"/>
  <c r="W418" i="6"/>
  <c r="AF418" i="6" s="1"/>
  <c r="W419" i="6"/>
  <c r="AF419" i="6" s="1"/>
  <c r="W420" i="6"/>
  <c r="W421" i="6"/>
  <c r="W422" i="6"/>
  <c r="AI422" i="6" s="1"/>
  <c r="W423" i="6"/>
  <c r="AF423" i="6" s="1"/>
  <c r="W424" i="6"/>
  <c r="AG424" i="6" s="1"/>
  <c r="W425" i="6"/>
  <c r="AF425" i="6" s="1"/>
  <c r="W426" i="6"/>
  <c r="AF426" i="6" s="1"/>
  <c r="W427" i="6"/>
  <c r="AF427" i="6" s="1"/>
  <c r="W428" i="6"/>
  <c r="W429" i="6"/>
  <c r="W430" i="6"/>
  <c r="AI430" i="6" s="1"/>
  <c r="W431" i="6"/>
  <c r="AG431" i="6" s="1"/>
  <c r="W432" i="6"/>
  <c r="AF432" i="6" s="1"/>
  <c r="W433" i="6"/>
  <c r="AG433" i="6" s="1"/>
  <c r="W434" i="6"/>
  <c r="AF434" i="6" s="1"/>
  <c r="W435" i="6"/>
  <c r="AI435" i="6" s="1"/>
  <c r="W436" i="6"/>
  <c r="W437" i="6"/>
  <c r="AF437" i="6" s="1"/>
  <c r="W438" i="6"/>
  <c r="AF438" i="6" s="1"/>
  <c r="W439" i="6"/>
  <c r="AI439" i="6" s="1"/>
  <c r="W440" i="6"/>
  <c r="AG440" i="6" s="1"/>
  <c r="W441" i="6"/>
  <c r="AG441" i="6" s="1"/>
  <c r="W442" i="6"/>
  <c r="AF442" i="6" s="1"/>
  <c r="W443" i="6"/>
  <c r="AF443" i="6" s="1"/>
  <c r="W444" i="6"/>
  <c r="W445" i="6"/>
  <c r="AG445" i="6" s="1"/>
  <c r="W446" i="6"/>
  <c r="AI446" i="6" s="1"/>
  <c r="W447" i="6"/>
  <c r="AI447" i="6" s="1"/>
  <c r="W448" i="6"/>
  <c r="AF448" i="6" s="1"/>
  <c r="W449" i="6"/>
  <c r="AG449" i="6" s="1"/>
  <c r="W450" i="6"/>
  <c r="AF450" i="6" s="1"/>
  <c r="W451" i="6"/>
  <c r="AI451" i="6" s="1"/>
  <c r="W452" i="6"/>
  <c r="W453" i="6"/>
  <c r="W454" i="6"/>
  <c r="AG454" i="6" s="1"/>
  <c r="W455" i="6"/>
  <c r="AF455" i="6" s="1"/>
  <c r="W456" i="6"/>
  <c r="AG456" i="6" s="1"/>
  <c r="W457" i="6"/>
  <c r="AF457" i="6" s="1"/>
  <c r="W458" i="6"/>
  <c r="AG458" i="6" s="1"/>
  <c r="W459" i="6"/>
  <c r="AG459" i="6" s="1"/>
  <c r="W460" i="6"/>
  <c r="W461" i="6"/>
  <c r="W462" i="6"/>
  <c r="AI462" i="6" s="1"/>
  <c r="W463" i="6"/>
  <c r="AG463" i="6" s="1"/>
  <c r="W464" i="6"/>
  <c r="W465" i="6"/>
  <c r="AG465" i="6" s="1"/>
  <c r="W466" i="6"/>
  <c r="AF466" i="6" s="1"/>
  <c r="W467" i="6"/>
  <c r="AF467" i="6" s="1"/>
  <c r="W468" i="6"/>
  <c r="W469" i="6"/>
  <c r="AF469" i="6" s="1"/>
  <c r="W470" i="6"/>
  <c r="AI470" i="6" s="1"/>
  <c r="W471" i="6"/>
  <c r="AI471" i="6" s="1"/>
  <c r="W472" i="6"/>
  <c r="AG472" i="6" s="1"/>
  <c r="W473" i="6"/>
  <c r="AG473" i="6" s="1"/>
  <c r="W474" i="6"/>
  <c r="AF474" i="6" s="1"/>
  <c r="W475" i="6"/>
  <c r="W478" i="6"/>
  <c r="AF478" i="6" s="1"/>
  <c r="W479" i="6"/>
  <c r="AF479" i="6" s="1"/>
  <c r="W480" i="6"/>
  <c r="AI480" i="6" s="1"/>
  <c r="W481" i="6"/>
  <c r="W482" i="6"/>
  <c r="AG482" i="6" s="1"/>
  <c r="W483" i="6"/>
  <c r="AG483" i="6" s="1"/>
  <c r="W484" i="6"/>
  <c r="AI484" i="6" s="1"/>
  <c r="W485" i="6"/>
  <c r="AF485" i="6" s="1"/>
  <c r="W486" i="6"/>
  <c r="AF486" i="6" s="1"/>
  <c r="W487" i="6"/>
  <c r="AF487" i="6" s="1"/>
  <c r="W489" i="6"/>
  <c r="W490" i="6"/>
  <c r="AG490" i="6" s="1"/>
  <c r="W491" i="6"/>
  <c r="AF491" i="6" s="1"/>
  <c r="W492" i="6"/>
  <c r="AF492" i="6" s="1"/>
  <c r="W493" i="6"/>
  <c r="AG493" i="6" s="1"/>
  <c r="W494" i="6"/>
  <c r="AI494" i="6" s="1"/>
  <c r="W495" i="6"/>
  <c r="AF495" i="6" s="1"/>
  <c r="W496" i="6"/>
  <c r="AI496" i="6" s="1"/>
  <c r="W497" i="6"/>
  <c r="W498" i="6"/>
  <c r="AF498" i="6" s="1"/>
  <c r="W499" i="6"/>
  <c r="AF499" i="6" s="1"/>
  <c r="W500" i="6"/>
  <c r="AF500" i="6" s="1"/>
  <c r="W501" i="6"/>
  <c r="AF501" i="6" s="1"/>
  <c r="W502" i="6"/>
  <c r="AI502" i="6" s="1"/>
  <c r="W503" i="6"/>
  <c r="AF503" i="6" s="1"/>
  <c r="W504" i="6"/>
  <c r="AF504" i="6" s="1"/>
  <c r="W505" i="6"/>
  <c r="W506" i="6"/>
  <c r="AG506" i="6" s="1"/>
  <c r="W507" i="6"/>
  <c r="AF507" i="6" s="1"/>
  <c r="W508" i="6"/>
  <c r="AF508" i="6" s="1"/>
  <c r="W509" i="6"/>
  <c r="AF509" i="6" s="1"/>
  <c r="W510" i="6"/>
  <c r="AI510" i="6" s="1"/>
  <c r="W511" i="6"/>
  <c r="AF511" i="6" s="1"/>
  <c r="W512" i="6"/>
  <c r="AG512" i="6" s="1"/>
  <c r="W513" i="6"/>
  <c r="W514" i="6"/>
  <c r="AF514" i="6" s="1"/>
  <c r="W515" i="6"/>
  <c r="AF515" i="6" s="1"/>
  <c r="W516" i="6"/>
  <c r="AF516" i="6" s="1"/>
  <c r="W517" i="6"/>
  <c r="AG517" i="6" s="1"/>
  <c r="W518" i="6"/>
  <c r="AF518" i="6" s="1"/>
  <c r="W519" i="6"/>
  <c r="AF519" i="6" s="1"/>
  <c r="W520" i="6"/>
  <c r="AF520" i="6" s="1"/>
  <c r="W521" i="6"/>
  <c r="W522" i="6"/>
  <c r="AI522" i="6" s="1"/>
  <c r="W523" i="6"/>
  <c r="AF523" i="6" s="1"/>
  <c r="W524" i="6"/>
  <c r="AF524" i="6" s="1"/>
  <c r="W525" i="6"/>
  <c r="AG525" i="6" s="1"/>
  <c r="W526" i="6"/>
  <c r="AG526" i="6" s="1"/>
  <c r="W527" i="6"/>
  <c r="AF527" i="6" s="1"/>
  <c r="W528" i="6"/>
  <c r="AF528" i="6" s="1"/>
  <c r="W529" i="6"/>
  <c r="W530" i="6"/>
  <c r="AF530" i="6" s="1"/>
  <c r="W531" i="6"/>
  <c r="AF531" i="6" s="1"/>
  <c r="W532" i="6"/>
  <c r="AF532" i="6" s="1"/>
  <c r="W533" i="6"/>
  <c r="AF533" i="6" s="1"/>
  <c r="W534" i="6"/>
  <c r="AG534" i="6" s="1"/>
  <c r="W535" i="6"/>
  <c r="AF535" i="6" s="1"/>
  <c r="W536" i="6"/>
  <c r="AG536" i="6" s="1"/>
  <c r="W537" i="6"/>
  <c r="AF537" i="6" s="1"/>
  <c r="W538" i="6"/>
  <c r="AG538" i="6" s="1"/>
  <c r="W539" i="6"/>
  <c r="AF539" i="6" s="1"/>
  <c r="W540" i="6"/>
  <c r="AF540" i="6" s="1"/>
  <c r="W541" i="6"/>
  <c r="AI541" i="6" s="1"/>
  <c r="W542" i="6"/>
  <c r="AG542" i="6" s="1"/>
  <c r="W543" i="6"/>
  <c r="AF543" i="6" s="1"/>
  <c r="W544" i="6"/>
  <c r="AI544" i="6" s="1"/>
  <c r="W545" i="6"/>
  <c r="W546" i="6"/>
  <c r="AI546" i="6" s="1"/>
  <c r="W547" i="6"/>
  <c r="AF547" i="6" s="1"/>
  <c r="W548" i="6"/>
  <c r="AG548" i="6" s="1"/>
  <c r="W549" i="6"/>
  <c r="AG549" i="6" s="1"/>
  <c r="W550" i="6"/>
  <c r="AG550" i="6" s="1"/>
  <c r="W551" i="6"/>
  <c r="AF551" i="6" s="1"/>
  <c r="W552" i="6"/>
  <c r="AF552" i="6" s="1"/>
  <c r="W553" i="6"/>
  <c r="W554" i="6"/>
  <c r="AF554" i="6" s="1"/>
  <c r="W555" i="6"/>
  <c r="AG555" i="6" s="1"/>
  <c r="W556" i="6"/>
  <c r="AF556" i="6" s="1"/>
  <c r="W557" i="6"/>
  <c r="AG557" i="6" s="1"/>
  <c r="W558" i="6"/>
  <c r="AF558" i="6" s="1"/>
  <c r="W559" i="6"/>
  <c r="AG559" i="6" s="1"/>
  <c r="W560" i="6"/>
  <c r="AG560" i="6" s="1"/>
  <c r="W561" i="6"/>
  <c r="W562" i="6"/>
  <c r="AF562" i="6" s="1"/>
  <c r="W563" i="6"/>
  <c r="AF563" i="6" s="1"/>
  <c r="W564" i="6"/>
  <c r="AG564" i="6" s="1"/>
  <c r="W565" i="6"/>
  <c r="AF565" i="6" s="1"/>
  <c r="W566" i="6"/>
  <c r="AI566" i="6" s="1"/>
  <c r="W567" i="6"/>
  <c r="AI567" i="6" s="1"/>
  <c r="W568" i="6"/>
  <c r="AI568" i="6" s="1"/>
  <c r="W569" i="6"/>
  <c r="AG569" i="6" s="1"/>
  <c r="W570" i="6"/>
  <c r="AF570" i="6" s="1"/>
  <c r="W571" i="6"/>
  <c r="AF571" i="6" s="1"/>
  <c r="W572" i="6"/>
  <c r="AF572" i="6" s="1"/>
  <c r="W573" i="6"/>
  <c r="AI573" i="6" s="1"/>
  <c r="W574" i="6"/>
  <c r="AI574" i="6" s="1"/>
  <c r="W575" i="6"/>
  <c r="AG575" i="6" s="1"/>
  <c r="W576" i="6"/>
  <c r="AF576" i="6" s="1"/>
  <c r="W577" i="6"/>
  <c r="W578" i="6"/>
  <c r="AF578" i="6" s="1"/>
  <c r="W579" i="6"/>
  <c r="AF579" i="6" s="1"/>
  <c r="W580" i="6"/>
  <c r="AG580" i="6" s="1"/>
  <c r="W581" i="6"/>
  <c r="AG581" i="6" s="1"/>
  <c r="W582" i="6"/>
  <c r="AG582" i="6" s="1"/>
  <c r="W583" i="6"/>
  <c r="AF583" i="6" s="1"/>
  <c r="W584" i="6"/>
  <c r="AI584" i="6" s="1"/>
  <c r="W585" i="6"/>
  <c r="W586" i="6"/>
  <c r="AF586" i="6" s="1"/>
  <c r="W587" i="6"/>
  <c r="AF587" i="6" s="1"/>
  <c r="W588" i="6"/>
  <c r="AF588" i="6" s="1"/>
  <c r="W589" i="6"/>
  <c r="AF589" i="6" s="1"/>
  <c r="W590" i="6"/>
  <c r="AF590" i="6" s="1"/>
  <c r="W591" i="6"/>
  <c r="AF591" i="6" s="1"/>
  <c r="W592" i="6"/>
  <c r="AF592" i="6" s="1"/>
  <c r="W593" i="6"/>
  <c r="AF593" i="6" s="1"/>
  <c r="W594" i="6"/>
  <c r="AG594" i="6" s="1"/>
  <c r="W595" i="6"/>
  <c r="AF595" i="6" s="1"/>
  <c r="W596" i="6"/>
  <c r="AG596" i="6" s="1"/>
  <c r="W597" i="6"/>
  <c r="AF597" i="6" s="1"/>
  <c r="W598" i="6"/>
  <c r="AI598" i="6" s="1"/>
  <c r="W599" i="6"/>
  <c r="AF599" i="6" s="1"/>
  <c r="W601" i="6"/>
  <c r="AF601" i="6" s="1"/>
  <c r="W602" i="6"/>
  <c r="AF602" i="6" s="1"/>
  <c r="W603" i="6"/>
  <c r="AF603" i="6" s="1"/>
  <c r="W604" i="6"/>
  <c r="AF604" i="6" s="1"/>
  <c r="W605" i="6"/>
  <c r="AG605" i="6" s="1"/>
  <c r="W606" i="6"/>
  <c r="AG606" i="6" s="1"/>
  <c r="W607" i="6"/>
  <c r="AG607" i="6" s="1"/>
  <c r="W608" i="6"/>
  <c r="AI608" i="6" s="1"/>
  <c r="W609" i="6"/>
  <c r="W610" i="6"/>
  <c r="AG610" i="6" s="1"/>
  <c r="W611" i="6"/>
  <c r="AG611" i="6" s="1"/>
  <c r="W612" i="6"/>
  <c r="AF612" i="6" s="1"/>
  <c r="W613" i="6"/>
  <c r="AG613" i="6" s="1"/>
  <c r="W614" i="6"/>
  <c r="AG614" i="6" s="1"/>
  <c r="W615" i="6"/>
  <c r="AF615" i="6" s="1"/>
  <c r="W616" i="6"/>
  <c r="AI616" i="6" s="1"/>
  <c r="W617" i="6"/>
  <c r="AF617" i="6" s="1"/>
  <c r="W618" i="6"/>
  <c r="AF618" i="6" s="1"/>
  <c r="W619" i="6"/>
  <c r="AF619" i="6" s="1"/>
  <c r="W620" i="6"/>
  <c r="AG620" i="6" s="1"/>
  <c r="W621" i="6"/>
  <c r="AF621" i="6" s="1"/>
  <c r="AF85" i="6"/>
  <c r="AF125" i="6"/>
  <c r="AF141" i="6"/>
  <c r="AG96" i="6"/>
  <c r="AG151" i="6"/>
  <c r="AG167" i="6"/>
  <c r="AG331" i="6"/>
  <c r="AG347" i="6"/>
  <c r="AG430"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5" i="6"/>
  <c r="AH226" i="6"/>
  <c r="AH227" i="6"/>
  <c r="AH228" i="6"/>
  <c r="AH229" i="6"/>
  <c r="AH230" i="6"/>
  <c r="AH231" i="6"/>
  <c r="AH232" i="6"/>
  <c r="AH233" i="6"/>
  <c r="AH234" i="6"/>
  <c r="AH235" i="6"/>
  <c r="AH236" i="6"/>
  <c r="AH237" i="6"/>
  <c r="AH238" i="6"/>
  <c r="AH239"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30" i="6"/>
  <c r="AH331" i="6"/>
  <c r="AH332" i="6"/>
  <c r="AH333" i="6"/>
  <c r="AH334" i="6"/>
  <c r="AH335" i="6"/>
  <c r="AH336" i="6"/>
  <c r="AH337" i="6"/>
  <c r="AH338" i="6"/>
  <c r="AH339" i="6"/>
  <c r="AH340" i="6"/>
  <c r="AH341" i="6"/>
  <c r="AH342" i="6"/>
  <c r="AH343" i="6"/>
  <c r="AH344" i="6"/>
  <c r="AH345" i="6"/>
  <c r="AH346" i="6"/>
  <c r="AH347" i="6"/>
  <c r="AH348" i="6"/>
  <c r="AH350" i="6"/>
  <c r="AH351" i="6"/>
  <c r="AH352" i="6"/>
  <c r="AH353" i="6"/>
  <c r="AH354" i="6"/>
  <c r="AH355" i="6"/>
  <c r="AH356" i="6"/>
  <c r="AH357" i="6"/>
  <c r="AH358"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H459" i="6"/>
  <c r="AH460" i="6"/>
  <c r="AH461" i="6"/>
  <c r="AH462" i="6"/>
  <c r="AH463" i="6"/>
  <c r="AH464" i="6"/>
  <c r="AH465" i="6"/>
  <c r="AH466" i="6"/>
  <c r="AH467" i="6"/>
  <c r="AH468" i="6"/>
  <c r="AH469" i="6"/>
  <c r="AH470" i="6"/>
  <c r="AH471" i="6"/>
  <c r="AH472" i="6"/>
  <c r="AH473" i="6"/>
  <c r="AH474" i="6"/>
  <c r="AH475" i="6"/>
  <c r="AH478" i="6"/>
  <c r="AH479" i="6"/>
  <c r="AH480" i="6"/>
  <c r="AH481" i="6"/>
  <c r="AH482" i="6"/>
  <c r="AH483" i="6"/>
  <c r="AH484" i="6"/>
  <c r="AH485" i="6"/>
  <c r="AH486" i="6"/>
  <c r="AH487" i="6"/>
  <c r="AH489" i="6"/>
  <c r="AH490" i="6"/>
  <c r="AH491" i="6"/>
  <c r="AH492" i="6"/>
  <c r="AH493" i="6"/>
  <c r="AH494" i="6"/>
  <c r="AH495" i="6"/>
  <c r="AH496" i="6"/>
  <c r="AH497" i="6"/>
  <c r="AH498" i="6"/>
  <c r="AH499" i="6"/>
  <c r="AH500" i="6"/>
  <c r="AH501" i="6"/>
  <c r="AH502" i="6"/>
  <c r="AH503" i="6"/>
  <c r="AH504" i="6"/>
  <c r="AH505" i="6"/>
  <c r="AH506" i="6"/>
  <c r="AH507" i="6"/>
  <c r="AH508" i="6"/>
  <c r="AH509" i="6"/>
  <c r="AH510" i="6"/>
  <c r="AH511" i="6"/>
  <c r="AH512" i="6"/>
  <c r="AH513" i="6"/>
  <c r="AH514" i="6"/>
  <c r="AH515" i="6"/>
  <c r="AH516" i="6"/>
  <c r="AH517" i="6"/>
  <c r="AH518" i="6"/>
  <c r="AH519" i="6"/>
  <c r="AH520" i="6"/>
  <c r="AH521" i="6"/>
  <c r="AH522" i="6"/>
  <c r="AH523" i="6"/>
  <c r="AH524" i="6"/>
  <c r="AH525" i="6"/>
  <c r="AH526" i="6"/>
  <c r="AH527" i="6"/>
  <c r="AH528" i="6"/>
  <c r="AH529" i="6"/>
  <c r="AH530" i="6"/>
  <c r="AH531" i="6"/>
  <c r="AH532" i="6"/>
  <c r="AH533" i="6"/>
  <c r="AH534" i="6"/>
  <c r="AH535" i="6"/>
  <c r="AH536" i="6"/>
  <c r="AH537" i="6"/>
  <c r="AH538" i="6"/>
  <c r="AH539" i="6"/>
  <c r="AH540" i="6"/>
  <c r="AH541" i="6"/>
  <c r="AH542" i="6"/>
  <c r="AH543" i="6"/>
  <c r="AH544" i="6"/>
  <c r="AH545" i="6"/>
  <c r="AH546" i="6"/>
  <c r="AH547" i="6"/>
  <c r="AH548" i="6"/>
  <c r="AH549" i="6"/>
  <c r="AH550" i="6"/>
  <c r="AH551" i="6"/>
  <c r="AH552" i="6"/>
  <c r="AH553" i="6"/>
  <c r="AH554" i="6"/>
  <c r="AH555" i="6"/>
  <c r="AH556" i="6"/>
  <c r="AH557" i="6"/>
  <c r="AH558" i="6"/>
  <c r="AH559" i="6"/>
  <c r="AH560" i="6"/>
  <c r="AH561" i="6"/>
  <c r="AH562" i="6"/>
  <c r="AH563" i="6"/>
  <c r="AH564" i="6"/>
  <c r="AH565" i="6"/>
  <c r="AH566" i="6"/>
  <c r="AH567" i="6"/>
  <c r="AH568" i="6"/>
  <c r="AH569" i="6"/>
  <c r="AH570" i="6"/>
  <c r="AH571" i="6"/>
  <c r="AH572" i="6"/>
  <c r="AH573" i="6"/>
  <c r="AH574" i="6"/>
  <c r="AH575" i="6"/>
  <c r="AH576" i="6"/>
  <c r="AH577" i="6"/>
  <c r="AH578" i="6"/>
  <c r="AH579" i="6"/>
  <c r="AH580" i="6"/>
  <c r="AH581" i="6"/>
  <c r="AH582" i="6"/>
  <c r="AH583" i="6"/>
  <c r="AH584" i="6"/>
  <c r="AH585" i="6"/>
  <c r="AH586" i="6"/>
  <c r="AH587" i="6"/>
  <c r="AH588" i="6"/>
  <c r="AH589" i="6"/>
  <c r="AH590" i="6"/>
  <c r="AH591" i="6"/>
  <c r="AH592" i="6"/>
  <c r="AH593" i="6"/>
  <c r="AH594" i="6"/>
  <c r="AH595" i="6"/>
  <c r="AH596" i="6"/>
  <c r="AH597" i="6"/>
  <c r="AH598" i="6"/>
  <c r="AH599" i="6"/>
  <c r="AH601" i="6"/>
  <c r="AH602" i="6"/>
  <c r="AH603" i="6"/>
  <c r="AH604" i="6"/>
  <c r="AH605" i="6"/>
  <c r="AH606" i="6"/>
  <c r="AH607" i="6"/>
  <c r="AH608" i="6"/>
  <c r="AH609" i="6"/>
  <c r="AH610" i="6"/>
  <c r="AH611" i="6"/>
  <c r="AH612" i="6"/>
  <c r="AH613" i="6"/>
  <c r="AH614" i="6"/>
  <c r="AH615" i="6"/>
  <c r="AH616" i="6"/>
  <c r="AH617" i="6"/>
  <c r="AH618" i="6"/>
  <c r="AH619" i="6"/>
  <c r="AH620" i="6"/>
  <c r="AH621" i="6"/>
  <c r="AG136" i="6" l="1"/>
  <c r="AF56" i="6"/>
  <c r="AI154" i="6"/>
  <c r="AI72" i="6"/>
  <c r="AF202" i="6"/>
  <c r="AI253" i="6"/>
  <c r="AF162" i="6"/>
  <c r="AF48" i="6"/>
  <c r="AI203" i="6"/>
  <c r="AG245" i="6"/>
  <c r="AF154" i="6"/>
  <c r="AI202" i="6"/>
  <c r="AI162" i="6"/>
  <c r="AI136" i="6"/>
  <c r="AG194" i="6"/>
  <c r="AG89" i="6"/>
  <c r="AF113" i="6"/>
  <c r="AI97" i="6"/>
  <c r="AG187" i="6"/>
  <c r="AG72" i="6"/>
  <c r="AF112" i="6"/>
  <c r="AI96" i="6"/>
  <c r="AG186" i="6"/>
  <c r="AF211" i="6"/>
  <c r="AF104" i="6"/>
  <c r="AI269" i="6"/>
  <c r="AG261" i="6"/>
  <c r="AI261" i="6"/>
  <c r="AG253" i="6"/>
  <c r="AF210" i="6"/>
  <c r="AI210" i="6"/>
  <c r="AG392" i="6"/>
  <c r="AF277" i="6"/>
  <c r="AF269" i="6"/>
  <c r="AI441" i="6"/>
  <c r="AG343" i="6"/>
  <c r="AF40" i="6"/>
  <c r="AF147" i="6"/>
  <c r="AI417" i="6"/>
  <c r="AI245" i="6"/>
  <c r="AI194" i="6"/>
  <c r="AI129" i="6"/>
  <c r="AI65" i="6"/>
  <c r="AG235" i="6"/>
  <c r="AG178" i="6"/>
  <c r="AG128" i="6"/>
  <c r="AG64" i="6"/>
  <c r="AI392" i="6"/>
  <c r="AI236" i="6"/>
  <c r="AI186" i="6"/>
  <c r="AI128" i="6"/>
  <c r="AI64" i="6"/>
  <c r="AG293" i="6"/>
  <c r="AG227" i="6"/>
  <c r="AG170" i="6"/>
  <c r="AG121" i="6"/>
  <c r="AG56" i="6"/>
  <c r="AI293" i="6"/>
  <c r="AI235" i="6"/>
  <c r="AI178" i="6"/>
  <c r="AI120" i="6"/>
  <c r="AI57" i="6"/>
  <c r="AG285" i="6"/>
  <c r="AG218" i="6"/>
  <c r="AG120" i="6"/>
  <c r="AG48" i="6"/>
  <c r="AF179" i="6"/>
  <c r="AF81" i="6"/>
  <c r="AI285" i="6"/>
  <c r="AI227" i="6"/>
  <c r="AI171" i="6"/>
  <c r="AI112" i="6"/>
  <c r="AG277" i="6"/>
  <c r="AI218" i="6"/>
  <c r="AI170" i="6"/>
  <c r="AI104" i="6"/>
  <c r="AG155" i="6"/>
  <c r="AI465" i="6"/>
  <c r="AG457" i="6"/>
  <c r="AG417" i="6"/>
  <c r="AI410" i="6"/>
  <c r="AI402" i="6"/>
  <c r="AG426" i="6"/>
  <c r="AI393" i="6"/>
  <c r="AF343" i="6"/>
  <c r="AF246" i="6"/>
  <c r="AI458" i="6"/>
  <c r="AI246" i="6"/>
  <c r="AF335" i="6"/>
  <c r="AI450" i="6"/>
  <c r="AI335" i="6"/>
  <c r="AI442" i="6"/>
  <c r="AI195" i="6"/>
  <c r="AI163" i="6"/>
  <c r="AG211" i="6"/>
  <c r="AG179" i="6"/>
  <c r="AG81" i="6"/>
  <c r="AG40" i="6"/>
  <c r="AF203" i="6"/>
  <c r="AF171" i="6"/>
  <c r="AF137" i="6"/>
  <c r="AF73" i="6"/>
  <c r="AF32" i="6"/>
  <c r="AI434" i="6"/>
  <c r="AI385" i="6"/>
  <c r="AI270" i="6"/>
  <c r="AI228" i="6"/>
  <c r="AI121" i="6"/>
  <c r="AI89" i="6"/>
  <c r="AG113" i="6"/>
  <c r="AG73" i="6"/>
  <c r="AG32" i="6"/>
  <c r="AF236" i="6"/>
  <c r="AF105" i="6"/>
  <c r="AF24" i="6"/>
  <c r="AI474" i="6"/>
  <c r="AI426" i="6"/>
  <c r="AI377" i="6"/>
  <c r="AI187" i="6"/>
  <c r="AI155" i="6"/>
  <c r="AG402" i="6"/>
  <c r="AG147" i="6"/>
  <c r="AG24" i="6"/>
  <c r="AF195" i="6"/>
  <c r="AF163" i="6"/>
  <c r="AF129" i="6"/>
  <c r="AF65" i="6"/>
  <c r="AI466" i="6"/>
  <c r="AI418" i="6"/>
  <c r="AI361" i="6"/>
  <c r="AG137" i="6"/>
  <c r="AG105" i="6"/>
  <c r="AF270" i="6"/>
  <c r="AF228" i="6"/>
  <c r="AF97" i="6"/>
  <c r="AG377" i="6"/>
  <c r="AF393" i="6"/>
  <c r="AF57" i="6"/>
  <c r="AG450" i="6"/>
  <c r="AG361" i="6"/>
  <c r="AI82" i="6"/>
  <c r="AF394" i="6"/>
  <c r="AF229" i="6"/>
  <c r="AF607" i="6"/>
  <c r="AF74" i="6"/>
  <c r="AI106" i="6"/>
  <c r="AG427" i="6"/>
  <c r="AG362" i="6"/>
  <c r="AG90" i="6"/>
  <c r="AF598" i="6"/>
  <c r="AI459" i="6"/>
  <c r="AG598" i="6"/>
  <c r="AG148" i="6"/>
  <c r="AG114" i="6"/>
  <c r="AF517" i="6"/>
  <c r="AF98" i="6"/>
  <c r="AF25" i="6"/>
  <c r="AI427" i="6"/>
  <c r="AI237" i="6"/>
  <c r="AG237" i="6"/>
  <c r="AI362" i="6"/>
  <c r="AI164" i="6"/>
  <c r="AG565" i="6"/>
  <c r="AF459" i="6"/>
  <c r="AG501" i="6"/>
  <c r="AG164" i="6"/>
  <c r="AG41" i="6"/>
  <c r="AF458" i="6"/>
  <c r="AF148" i="6"/>
  <c r="AI549" i="6"/>
  <c r="AI403" i="6"/>
  <c r="AG403" i="6"/>
  <c r="AF172" i="6"/>
  <c r="AI533" i="6"/>
  <c r="AI212" i="6"/>
  <c r="AG451" i="6"/>
  <c r="AG212" i="6"/>
  <c r="AG66" i="6"/>
  <c r="AF49" i="6"/>
  <c r="AF17" i="6"/>
  <c r="AI503" i="6"/>
  <c r="AI394" i="6"/>
  <c r="AI33" i="6"/>
  <c r="AG419" i="6"/>
  <c r="AG33" i="6"/>
  <c r="AF451" i="6"/>
  <c r="AI485" i="6"/>
  <c r="AI419" i="6"/>
  <c r="AI205" i="6"/>
  <c r="AI156" i="6"/>
  <c r="AI75" i="6"/>
  <c r="AG485" i="6"/>
  <c r="AG443" i="6"/>
  <c r="AG418" i="6"/>
  <c r="AG205" i="6"/>
  <c r="AG106" i="6"/>
  <c r="AG82" i="6"/>
  <c r="AG58" i="6"/>
  <c r="AF494" i="6"/>
  <c r="AF385" i="6"/>
  <c r="AF320" i="6"/>
  <c r="AF114" i="6"/>
  <c r="AF386" i="6"/>
  <c r="AI443" i="6"/>
  <c r="AI336" i="6"/>
  <c r="AI229" i="6"/>
  <c r="AI204" i="6"/>
  <c r="AI98" i="6"/>
  <c r="AI74" i="6"/>
  <c r="AI25" i="6"/>
  <c r="AG467" i="6"/>
  <c r="AG442" i="6"/>
  <c r="AG204" i="6"/>
  <c r="AG156" i="6"/>
  <c r="AF493" i="6"/>
  <c r="AF411" i="6"/>
  <c r="AF378" i="6"/>
  <c r="AF90" i="6"/>
  <c r="AF66" i="6"/>
  <c r="AF41" i="6"/>
  <c r="AI615" i="6"/>
  <c r="AI467" i="6"/>
  <c r="AI386" i="6"/>
  <c r="AI256" i="6"/>
  <c r="AI172" i="6"/>
  <c r="AI49" i="6"/>
  <c r="AG466" i="6"/>
  <c r="AG435" i="6"/>
  <c r="AG411" i="6"/>
  <c r="AF410" i="6"/>
  <c r="AI607" i="6"/>
  <c r="AI303" i="6"/>
  <c r="AI17" i="6"/>
  <c r="AG615" i="6"/>
  <c r="AG434" i="6"/>
  <c r="AF435" i="6"/>
  <c r="AF363" i="6"/>
  <c r="AI34" i="6"/>
  <c r="AI58" i="6"/>
  <c r="AI378" i="6"/>
  <c r="AG311" i="6"/>
  <c r="AF364" i="6"/>
  <c r="AI257" i="6"/>
  <c r="AG257" i="6"/>
  <c r="AI495" i="6"/>
  <c r="AI363" i="6"/>
  <c r="AI321" i="6"/>
  <c r="AI280" i="6"/>
  <c r="AI91" i="6"/>
  <c r="AG511" i="6"/>
  <c r="AG280" i="6"/>
  <c r="AG221" i="6"/>
  <c r="AG108" i="6"/>
  <c r="AF312" i="6"/>
  <c r="AF265" i="6"/>
  <c r="AF84" i="6"/>
  <c r="AF26" i="6"/>
  <c r="AI487" i="6"/>
  <c r="AI320" i="6"/>
  <c r="AI221" i="6"/>
  <c r="AI50" i="6"/>
  <c r="AG503" i="6"/>
  <c r="AG330" i="6"/>
  <c r="AG68" i="6"/>
  <c r="AG27" i="6"/>
  <c r="AF567" i="6"/>
  <c r="AF264" i="6"/>
  <c r="AF190" i="6"/>
  <c r="AF99" i="6"/>
  <c r="AF83" i="6"/>
  <c r="AF43" i="6"/>
  <c r="AI92" i="6"/>
  <c r="AF124" i="6"/>
  <c r="AF68" i="6"/>
  <c r="AI313" i="6"/>
  <c r="AI273" i="6"/>
  <c r="AG214" i="6"/>
  <c r="AG124" i="6"/>
  <c r="AG84" i="6"/>
  <c r="AG26" i="6"/>
  <c r="AF345" i="6"/>
  <c r="AF289" i="6"/>
  <c r="AF206" i="6"/>
  <c r="AF42" i="6"/>
  <c r="AF27" i="6"/>
  <c r="AI551" i="6"/>
  <c r="AI345" i="6"/>
  <c r="AI214" i="6"/>
  <c r="AI18" i="6"/>
  <c r="AG355" i="6"/>
  <c r="AG305" i="6"/>
  <c r="AG83" i="6"/>
  <c r="AG43" i="6"/>
  <c r="AF288" i="6"/>
  <c r="AF59" i="6"/>
  <c r="AI182" i="6"/>
  <c r="AG281" i="6"/>
  <c r="AF313" i="6"/>
  <c r="AI297" i="6"/>
  <c r="AI116" i="6"/>
  <c r="AG354" i="6"/>
  <c r="AG304" i="6"/>
  <c r="AG264" i="6"/>
  <c r="AG190" i="6"/>
  <c r="AG99" i="6"/>
  <c r="AG42" i="6"/>
  <c r="AF338" i="6"/>
  <c r="AF222" i="6"/>
  <c r="AI543" i="6"/>
  <c r="AI338" i="6"/>
  <c r="AI296" i="6"/>
  <c r="AI140" i="6"/>
  <c r="AI115" i="6"/>
  <c r="AI76" i="6"/>
  <c r="AI60" i="6"/>
  <c r="AG59" i="6"/>
  <c r="AF108" i="6"/>
  <c r="AI535" i="6"/>
  <c r="AI337" i="6"/>
  <c r="AI312" i="6"/>
  <c r="AI289" i="6"/>
  <c r="AI230" i="6"/>
  <c r="AI213" i="6"/>
  <c r="AI132" i="6"/>
  <c r="AI100" i="6"/>
  <c r="AG495" i="6"/>
  <c r="AG373" i="6"/>
  <c r="AG346" i="6"/>
  <c r="AG328" i="6"/>
  <c r="AG297" i="6"/>
  <c r="AG256" i="6"/>
  <c r="AG230" i="6"/>
  <c r="AG213" i="6"/>
  <c r="AG183" i="6"/>
  <c r="AG107" i="6"/>
  <c r="AG67" i="6"/>
  <c r="AF454" i="6"/>
  <c r="AF337" i="6"/>
  <c r="AF305" i="6"/>
  <c r="AF281" i="6"/>
  <c r="AF140" i="6"/>
  <c r="AF107" i="6"/>
  <c r="AF67" i="6"/>
  <c r="AI288" i="6"/>
  <c r="AI250" i="6"/>
  <c r="AI198" i="6"/>
  <c r="AG567" i="6"/>
  <c r="AG364" i="6"/>
  <c r="AG321" i="6"/>
  <c r="AG296" i="6"/>
  <c r="AG273" i="6"/>
  <c r="AG199" i="6"/>
  <c r="AG182" i="6"/>
  <c r="AG92" i="6"/>
  <c r="AG77" i="6"/>
  <c r="AG51" i="6"/>
  <c r="AG35" i="6"/>
  <c r="AG19" i="6"/>
  <c r="AF389" i="6"/>
  <c r="AF304" i="6"/>
  <c r="AF51" i="6"/>
  <c r="AF35" i="6"/>
  <c r="AF19" i="6"/>
  <c r="AI527" i="6"/>
  <c r="AI355" i="6"/>
  <c r="AI266" i="6"/>
  <c r="AI249" i="6"/>
  <c r="AG470" i="6"/>
  <c r="AG249" i="6"/>
  <c r="AG198" i="6"/>
  <c r="AG116" i="6"/>
  <c r="AG91" i="6"/>
  <c r="AG76" i="6"/>
  <c r="AG50" i="6"/>
  <c r="AG34" i="6"/>
  <c r="AG18" i="6"/>
  <c r="AF330" i="6"/>
  <c r="AI519" i="6"/>
  <c r="AI354" i="6"/>
  <c r="AI282" i="6"/>
  <c r="AI265" i="6"/>
  <c r="AG535" i="6"/>
  <c r="AG115" i="6"/>
  <c r="AG75" i="6"/>
  <c r="AF328" i="6"/>
  <c r="AF132" i="6"/>
  <c r="AI575" i="6"/>
  <c r="AI511" i="6"/>
  <c r="AI381" i="6"/>
  <c r="AI346" i="6"/>
  <c r="AI298" i="6"/>
  <c r="AI222" i="6"/>
  <c r="AI206" i="6"/>
  <c r="AG519" i="6"/>
  <c r="AG100" i="6"/>
  <c r="AG60" i="6"/>
  <c r="AI438" i="6"/>
  <c r="AI397" i="6"/>
  <c r="AI314" i="6"/>
  <c r="AI69" i="6"/>
  <c r="AI20" i="6"/>
  <c r="AG365" i="6"/>
  <c r="AG290" i="6"/>
  <c r="AG274" i="6"/>
  <c r="AG258" i="6"/>
  <c r="AG242" i="6"/>
  <c r="AG223" i="6"/>
  <c r="AG28" i="6"/>
  <c r="AF430" i="6"/>
  <c r="AF322" i="6"/>
  <c r="AF191" i="6"/>
  <c r="AF175" i="6"/>
  <c r="AF159" i="6"/>
  <c r="AF61" i="6"/>
  <c r="AF36" i="6"/>
  <c r="AI454" i="6"/>
  <c r="AI347" i="6"/>
  <c r="AI133" i="6"/>
  <c r="AI117" i="6"/>
  <c r="AI44" i="6"/>
  <c r="AG446" i="6"/>
  <c r="AG389" i="6"/>
  <c r="AG306" i="6"/>
  <c r="AG207" i="6"/>
  <c r="AG52" i="6"/>
  <c r="AF470" i="6"/>
  <c r="AF406" i="6"/>
  <c r="AF339" i="6"/>
  <c r="AF298" i="6"/>
  <c r="AF282" i="6"/>
  <c r="AF266" i="6"/>
  <c r="AF250" i="6"/>
  <c r="AI414" i="6"/>
  <c r="AI373" i="6"/>
  <c r="AI331" i="6"/>
  <c r="AI199" i="6"/>
  <c r="AI183" i="6"/>
  <c r="AI167" i="6"/>
  <c r="AI151" i="6"/>
  <c r="AI77" i="6"/>
  <c r="AG462" i="6"/>
  <c r="AG422" i="6"/>
  <c r="AG406" i="6"/>
  <c r="AG322" i="6"/>
  <c r="AG141" i="6"/>
  <c r="AG125" i="6"/>
  <c r="AG85" i="6"/>
  <c r="AF446" i="6"/>
  <c r="AF381" i="6"/>
  <c r="AF69" i="6"/>
  <c r="AF20" i="6"/>
  <c r="AI365" i="6"/>
  <c r="AI306" i="6"/>
  <c r="AI290" i="6"/>
  <c r="AI274" i="6"/>
  <c r="AI258" i="6"/>
  <c r="AI242" i="6"/>
  <c r="AI223" i="6"/>
  <c r="AI28" i="6"/>
  <c r="AG339" i="6"/>
  <c r="AG191" i="6"/>
  <c r="AG175" i="6"/>
  <c r="AG159" i="6"/>
  <c r="AG61" i="6"/>
  <c r="AG36" i="6"/>
  <c r="AF422" i="6"/>
  <c r="AF314" i="6"/>
  <c r="AF133" i="6"/>
  <c r="AF117" i="6"/>
  <c r="AF44" i="6"/>
  <c r="AI207" i="6"/>
  <c r="AI52" i="6"/>
  <c r="AG438" i="6"/>
  <c r="AF462" i="6"/>
  <c r="AF397" i="6"/>
  <c r="AG414" i="6"/>
  <c r="AF168" i="6"/>
  <c r="AI118" i="6"/>
  <c r="AG259" i="6"/>
  <c r="AF78" i="6"/>
  <c r="AF45" i="6"/>
  <c r="AI423" i="6"/>
  <c r="AG144" i="6"/>
  <c r="AF126" i="6"/>
  <c r="AI160" i="6"/>
  <c r="AG37" i="6"/>
  <c r="AI184" i="6"/>
  <c r="AI144" i="6"/>
  <c r="AI37" i="6"/>
  <c r="AG340" i="6"/>
  <c r="AI455" i="6"/>
  <c r="AG168" i="6"/>
  <c r="AG126" i="6"/>
  <c r="AG78" i="6"/>
  <c r="AG45" i="6"/>
  <c r="AF152" i="6"/>
  <c r="AF86" i="6"/>
  <c r="AF21" i="6"/>
  <c r="AF340" i="6"/>
  <c r="AF176" i="6"/>
  <c r="AF134" i="6"/>
  <c r="AI283" i="6"/>
  <c r="AG192" i="6"/>
  <c r="AG152" i="6"/>
  <c r="AG86" i="6"/>
  <c r="AG21" i="6"/>
  <c r="AF463" i="6"/>
  <c r="AF29" i="6"/>
  <c r="AI251" i="6"/>
  <c r="AG176" i="6"/>
  <c r="AG134" i="6"/>
  <c r="AF398" i="6"/>
  <c r="AF160" i="6"/>
  <c r="AF118" i="6"/>
  <c r="AG29" i="6"/>
  <c r="AI390" i="6"/>
  <c r="AI366" i="6"/>
  <c r="AG291" i="6"/>
  <c r="AF464" i="6"/>
  <c r="AI464" i="6"/>
  <c r="AF408" i="6"/>
  <c r="AI408" i="6"/>
  <c r="AI350" i="6"/>
  <c r="AF350" i="6"/>
  <c r="AF161" i="6"/>
  <c r="AG161" i="6"/>
  <c r="AG416" i="6"/>
  <c r="AF416" i="6"/>
  <c r="AG399" i="6"/>
  <c r="AF399" i="6"/>
  <c r="AI276" i="6"/>
  <c r="AF276" i="6"/>
  <c r="AF260" i="6"/>
  <c r="AG260" i="6"/>
  <c r="AF234" i="6"/>
  <c r="AG234" i="6"/>
  <c r="AG209" i="6"/>
  <c r="AF209" i="6"/>
  <c r="AI209" i="6"/>
  <c r="AF135" i="6"/>
  <c r="AG135" i="6"/>
  <c r="AF95" i="6"/>
  <c r="AG95" i="6"/>
  <c r="AF431" i="6"/>
  <c r="AI448" i="6"/>
  <c r="AI391" i="6"/>
  <c r="AI284" i="6"/>
  <c r="AI260" i="6"/>
  <c r="AI234" i="6"/>
  <c r="AI185" i="6"/>
  <c r="AI135" i="6"/>
  <c r="AI95" i="6"/>
  <c r="AG391" i="6"/>
  <c r="AG375" i="6"/>
  <c r="AG358" i="6"/>
  <c r="AG324" i="6"/>
  <c r="AG284" i="6"/>
  <c r="AG217" i="6"/>
  <c r="AG185" i="6"/>
  <c r="AF383" i="6"/>
  <c r="AF316" i="6"/>
  <c r="AF300" i="6"/>
  <c r="AF145" i="6"/>
  <c r="AF103" i="6"/>
  <c r="AI432" i="6"/>
  <c r="AI375" i="6"/>
  <c r="AI358" i="6"/>
  <c r="AI324" i="6"/>
  <c r="AI308" i="6"/>
  <c r="AI217" i="6"/>
  <c r="AG464" i="6"/>
  <c r="AG308" i="6"/>
  <c r="AG145" i="6"/>
  <c r="AG103" i="6"/>
  <c r="AF472" i="6"/>
  <c r="AI472" i="6"/>
  <c r="AG448" i="6"/>
  <c r="AG432" i="6"/>
  <c r="AG367" i="6"/>
  <c r="AG292" i="6"/>
  <c r="AG268" i="6"/>
  <c r="AG244" i="6"/>
  <c r="AG193" i="6"/>
  <c r="AF456" i="6"/>
  <c r="AF440" i="6"/>
  <c r="AF119" i="6"/>
  <c r="AF111" i="6"/>
  <c r="AI456" i="6"/>
  <c r="AI416" i="6"/>
  <c r="AI399" i="6"/>
  <c r="AI367" i="6"/>
  <c r="AI292" i="6"/>
  <c r="AI268" i="6"/>
  <c r="AI244" i="6"/>
  <c r="AI193" i="6"/>
  <c r="AG350" i="6"/>
  <c r="AG119" i="6"/>
  <c r="AG111" i="6"/>
  <c r="AF424" i="6"/>
  <c r="AG383" i="6"/>
  <c r="AG316" i="6"/>
  <c r="AF127" i="6"/>
  <c r="AI440" i="6"/>
  <c r="AI424" i="6"/>
  <c r="AI252" i="6"/>
  <c r="AI153" i="6"/>
  <c r="AG300" i="6"/>
  <c r="AG276" i="6"/>
  <c r="AG252" i="6"/>
  <c r="AG201" i="6"/>
  <c r="AG127" i="6"/>
  <c r="AI201" i="6"/>
  <c r="AI591" i="6"/>
  <c r="AG551" i="6"/>
  <c r="AI583" i="6"/>
  <c r="AG543" i="6"/>
  <c r="AF575" i="6"/>
  <c r="AG527" i="6"/>
  <c r="AI559" i="6"/>
  <c r="AG591" i="6"/>
  <c r="AI530" i="6"/>
  <c r="AI554" i="6"/>
  <c r="AI571" i="6"/>
  <c r="AG523" i="6"/>
  <c r="AI499" i="6"/>
  <c r="AI564" i="6"/>
  <c r="AI516" i="6"/>
  <c r="AI540" i="6"/>
  <c r="AI621" i="6"/>
  <c r="AI588" i="6"/>
  <c r="AI556" i="6"/>
  <c r="AI508" i="6"/>
  <c r="AI483" i="6"/>
  <c r="AI613" i="6"/>
  <c r="AI580" i="6"/>
  <c r="AI532" i="6"/>
  <c r="AI500" i="6"/>
  <c r="AI605" i="6"/>
  <c r="AI572" i="6"/>
  <c r="AI548" i="6"/>
  <c r="AI524" i="6"/>
  <c r="AI596" i="6"/>
  <c r="AI492" i="6"/>
  <c r="AF559" i="6"/>
  <c r="AI479" i="6"/>
  <c r="AG608" i="6"/>
  <c r="AI520" i="6"/>
  <c r="AG491" i="6"/>
  <c r="AI587" i="6"/>
  <c r="AI531" i="6"/>
  <c r="AI515" i="6"/>
  <c r="AG515" i="6"/>
  <c r="AI563" i="6"/>
  <c r="AI547" i="6"/>
  <c r="AI491" i="6"/>
  <c r="AI612" i="6"/>
  <c r="AI604" i="6"/>
  <c r="AG547" i="6"/>
  <c r="AG507" i="6"/>
  <c r="AI579" i="6"/>
  <c r="AI507" i="6"/>
  <c r="AI620" i="6"/>
  <c r="AI555" i="6"/>
  <c r="AI539" i="6"/>
  <c r="AI523" i="6"/>
  <c r="AI595" i="6"/>
  <c r="AI482" i="6"/>
  <c r="AG571" i="6"/>
  <c r="AG499" i="6"/>
  <c r="AG604" i="6"/>
  <c r="AG539" i="6"/>
  <c r="AG595" i="6"/>
  <c r="AG563" i="6"/>
  <c r="AG531" i="6"/>
  <c r="AF555" i="6"/>
  <c r="AG587" i="6"/>
  <c r="AG612" i="6"/>
  <c r="AG579" i="6"/>
  <c r="AG621" i="6"/>
  <c r="AG588" i="6"/>
  <c r="AF549" i="6"/>
  <c r="AF483" i="6"/>
  <c r="AI525" i="6"/>
  <c r="AG573" i="6"/>
  <c r="AG509" i="6"/>
  <c r="AF557" i="6"/>
  <c r="AI509" i="6"/>
  <c r="AI493" i="6"/>
  <c r="AG484" i="6"/>
  <c r="AF525" i="6"/>
  <c r="AI597" i="6"/>
  <c r="AI581" i="6"/>
  <c r="AI565" i="6"/>
  <c r="AF581" i="6"/>
  <c r="AG541" i="6"/>
  <c r="AF573" i="6"/>
  <c r="AI517" i="6"/>
  <c r="AI501" i="6"/>
  <c r="AF541" i="6"/>
  <c r="AF484" i="6"/>
  <c r="AI589" i="6"/>
  <c r="AI557" i="6"/>
  <c r="AG533" i="6"/>
  <c r="AI618" i="6"/>
  <c r="AI552" i="6"/>
  <c r="AG487" i="6"/>
  <c r="AF512" i="6"/>
  <c r="AF560" i="6"/>
  <c r="AF536" i="6"/>
  <c r="AG479" i="6"/>
  <c r="AG584" i="6"/>
  <c r="AI611" i="6"/>
  <c r="AG530" i="6"/>
  <c r="AG546" i="6"/>
  <c r="AI619" i="6"/>
  <c r="AI603" i="6"/>
  <c r="AF611" i="6"/>
  <c r="AG603" i="6"/>
  <c r="AG619" i="6"/>
  <c r="AG578" i="6"/>
  <c r="AF538" i="6"/>
  <c r="AF605" i="6"/>
  <c r="AF620" i="6"/>
  <c r="AG572" i="6"/>
  <c r="AG556" i="6"/>
  <c r="AF580" i="6"/>
  <c r="AF564" i="6"/>
  <c r="AF548" i="6"/>
  <c r="AF613" i="6"/>
  <c r="AF596" i="6"/>
  <c r="AI582" i="6"/>
  <c r="AI315" i="6"/>
  <c r="AF299" i="6"/>
  <c r="AF267" i="6"/>
  <c r="AF233" i="6"/>
  <c r="AF200" i="6"/>
  <c r="AF169" i="6"/>
  <c r="AI291" i="6"/>
  <c r="AI259" i="6"/>
  <c r="AI192" i="6"/>
  <c r="AI161" i="6"/>
  <c r="AG323" i="6"/>
  <c r="AG299" i="6"/>
  <c r="AG267" i="6"/>
  <c r="AG233" i="6"/>
  <c r="AG200" i="6"/>
  <c r="AG169" i="6"/>
  <c r="AF526" i="6"/>
  <c r="AF323" i="6"/>
  <c r="AG348" i="6"/>
  <c r="AF348" i="6"/>
  <c r="AF275" i="6"/>
  <c r="AF243" i="6"/>
  <c r="AF216" i="6"/>
  <c r="AF177" i="6"/>
  <c r="AG486" i="6"/>
  <c r="AG275" i="6"/>
  <c r="AG243" i="6"/>
  <c r="AG216" i="6"/>
  <c r="AG177" i="6"/>
  <c r="AF307" i="6"/>
  <c r="AG332" i="6"/>
  <c r="AG307" i="6"/>
  <c r="AF332" i="6"/>
  <c r="AF283" i="6"/>
  <c r="AF251" i="6"/>
  <c r="AF184" i="6"/>
  <c r="AF153" i="6"/>
  <c r="AI518" i="6"/>
  <c r="AG356" i="6"/>
  <c r="AF356" i="6"/>
  <c r="AG518" i="6"/>
  <c r="AG315" i="6"/>
  <c r="AF610" i="6"/>
  <c r="AF465" i="6"/>
  <c r="AF441" i="6"/>
  <c r="AF311" i="6"/>
  <c r="AI602" i="6"/>
  <c r="AI578" i="6"/>
  <c r="AI506" i="6"/>
  <c r="AG514" i="6"/>
  <c r="AG498" i="6"/>
  <c r="AG376" i="6"/>
  <c r="AG319" i="6"/>
  <c r="AF594" i="6"/>
  <c r="AF522" i="6"/>
  <c r="AF482" i="6"/>
  <c r="AI425" i="6"/>
  <c r="AI401" i="6"/>
  <c r="AI376" i="6"/>
  <c r="AG602" i="6"/>
  <c r="AG586" i="6"/>
  <c r="AG401" i="6"/>
  <c r="AG353" i="6"/>
  <c r="AF506" i="6"/>
  <c r="AF319" i="6"/>
  <c r="AI586" i="6"/>
  <c r="AI562" i="6"/>
  <c r="AI538" i="6"/>
  <c r="AI490" i="6"/>
  <c r="AI473" i="6"/>
  <c r="AI449" i="6"/>
  <c r="AG425" i="6"/>
  <c r="AG360" i="6"/>
  <c r="AG327" i="6"/>
  <c r="AG295" i="6"/>
  <c r="AF546" i="6"/>
  <c r="AF490" i="6"/>
  <c r="AF473" i="6"/>
  <c r="AF449" i="6"/>
  <c r="AF353" i="6"/>
  <c r="AI610" i="6"/>
  <c r="AI514" i="6"/>
  <c r="AG522" i="6"/>
  <c r="AG384" i="6"/>
  <c r="AG368" i="6"/>
  <c r="AF360" i="6"/>
  <c r="AF327" i="6"/>
  <c r="AF295" i="6"/>
  <c r="AI457" i="6"/>
  <c r="AI433" i="6"/>
  <c r="AI409" i="6"/>
  <c r="AI384" i="6"/>
  <c r="AI368" i="6"/>
  <c r="AG409" i="6"/>
  <c r="AG336" i="6"/>
  <c r="AG303" i="6"/>
  <c r="AF433" i="6"/>
  <c r="AI594" i="6"/>
  <c r="AI570" i="6"/>
  <c r="AI498" i="6"/>
  <c r="AI592" i="6"/>
  <c r="AG520" i="6"/>
  <c r="AG496" i="6"/>
  <c r="AG471" i="6"/>
  <c r="AG439" i="6"/>
  <c r="AG407" i="6"/>
  <c r="AG374" i="6"/>
  <c r="AF608" i="6"/>
  <c r="AF584" i="6"/>
  <c r="AI560" i="6"/>
  <c r="AI528" i="6"/>
  <c r="AI463" i="6"/>
  <c r="AI431" i="6"/>
  <c r="AI398" i="6"/>
  <c r="AG616" i="6"/>
  <c r="AG568" i="6"/>
  <c r="AG544" i="6"/>
  <c r="AG23" i="6"/>
  <c r="AF496" i="6"/>
  <c r="AF471" i="6"/>
  <c r="AF439" i="6"/>
  <c r="AF407" i="6"/>
  <c r="AF374" i="6"/>
  <c r="AI599" i="6"/>
  <c r="AG592" i="6"/>
  <c r="AG447" i="6"/>
  <c r="AG415" i="6"/>
  <c r="AG382" i="6"/>
  <c r="AF616" i="6"/>
  <c r="AF568" i="6"/>
  <c r="AF544" i="6"/>
  <c r="AI536" i="6"/>
  <c r="AG552" i="6"/>
  <c r="AG528" i="6"/>
  <c r="AG504" i="6"/>
  <c r="AF447" i="6"/>
  <c r="AF415" i="6"/>
  <c r="AF382" i="6"/>
  <c r="AI504" i="6"/>
  <c r="AI23" i="6"/>
  <c r="AG576" i="6"/>
  <c r="AG480" i="6"/>
  <c r="AG455" i="6"/>
  <c r="AG423" i="6"/>
  <c r="AG390" i="6"/>
  <c r="AG366" i="6"/>
  <c r="AI576" i="6"/>
  <c r="AG599" i="6"/>
  <c r="AF480" i="6"/>
  <c r="AI512" i="6"/>
  <c r="AI590" i="6"/>
  <c r="AI526" i="6"/>
  <c r="AG590" i="6"/>
  <c r="AG558" i="6"/>
  <c r="AG31" i="6"/>
  <c r="AF566" i="6"/>
  <c r="AI534" i="6"/>
  <c r="AG494" i="6"/>
  <c r="AF606" i="6"/>
  <c r="AF534" i="6"/>
  <c r="AF502" i="6"/>
  <c r="AI606" i="6"/>
  <c r="AI542" i="6"/>
  <c r="AI478" i="6"/>
  <c r="AG566" i="6"/>
  <c r="AG437" i="6"/>
  <c r="AF614" i="6"/>
  <c r="AF574" i="6"/>
  <c r="AI614" i="6"/>
  <c r="AI550" i="6"/>
  <c r="AI486" i="6"/>
  <c r="AG502" i="6"/>
  <c r="AF582" i="6"/>
  <c r="AF542" i="6"/>
  <c r="AF510" i="6"/>
  <c r="AI558" i="6"/>
  <c r="AG574" i="6"/>
  <c r="AF550" i="6"/>
  <c r="AG510" i="6"/>
  <c r="AI609" i="6"/>
  <c r="AG609" i="6"/>
  <c r="AG553" i="6"/>
  <c r="AI553" i="6"/>
  <c r="AF553" i="6"/>
  <c r="AF521" i="6"/>
  <c r="AI521" i="6"/>
  <c r="AG521" i="6"/>
  <c r="AG489" i="6"/>
  <c r="AI489" i="6"/>
  <c r="AF489" i="6"/>
  <c r="AF453" i="6"/>
  <c r="AI453" i="6"/>
  <c r="AG453" i="6"/>
  <c r="AG429" i="6"/>
  <c r="AF429" i="6"/>
  <c r="AF380" i="6"/>
  <c r="AI380" i="6"/>
  <c r="AG334" i="6"/>
  <c r="AF334" i="6"/>
  <c r="AI220" i="6"/>
  <c r="AG220" i="6"/>
  <c r="AF220" i="6"/>
  <c r="AF197" i="6"/>
  <c r="AI197" i="6"/>
  <c r="AG197" i="6"/>
  <c r="AG174" i="6"/>
  <c r="AF174" i="6"/>
  <c r="AI150" i="6"/>
  <c r="AG150" i="6"/>
  <c r="AF139" i="6"/>
  <c r="AI139" i="6"/>
  <c r="AF102" i="6"/>
  <c r="AI102" i="6"/>
  <c r="AG102" i="6"/>
  <c r="AF88" i="6"/>
  <c r="AI88" i="6"/>
  <c r="AF47" i="6"/>
  <c r="AI47" i="6"/>
  <c r="AG47" i="6"/>
  <c r="AI279" i="6"/>
  <c r="AG232" i="6"/>
  <c r="AI437" i="6"/>
  <c r="AG372" i="6"/>
  <c r="AF609" i="6"/>
  <c r="AF150" i="6"/>
  <c r="AI617" i="6"/>
  <c r="AG617" i="6"/>
  <c r="AF585" i="6"/>
  <c r="AI585" i="6"/>
  <c r="AG585" i="6"/>
  <c r="AG561" i="6"/>
  <c r="AI561" i="6"/>
  <c r="AF561" i="6"/>
  <c r="AI529" i="6"/>
  <c r="AG529" i="6"/>
  <c r="AG481" i="6"/>
  <c r="AI481" i="6"/>
  <c r="AF481" i="6"/>
  <c r="AF396" i="6"/>
  <c r="AI396" i="6"/>
  <c r="AG396" i="6"/>
  <c r="AG370" i="6"/>
  <c r="AF370" i="6"/>
  <c r="AF352" i="6"/>
  <c r="AI352" i="6"/>
  <c r="AG352" i="6"/>
  <c r="AI326" i="6"/>
  <c r="AG326" i="6"/>
  <c r="AF326" i="6"/>
  <c r="AF302" i="6"/>
  <c r="AI302" i="6"/>
  <c r="AG302" i="6"/>
  <c r="AF287" i="6"/>
  <c r="AI287" i="6"/>
  <c r="AF255" i="6"/>
  <c r="AI255" i="6"/>
  <c r="AG255" i="6"/>
  <c r="AF239" i="6"/>
  <c r="AI239" i="6"/>
  <c r="AG123" i="6"/>
  <c r="AF123" i="6"/>
  <c r="AI110" i="6"/>
  <c r="AG110" i="6"/>
  <c r="AF94" i="6"/>
  <c r="AI94" i="6"/>
  <c r="AG94" i="6"/>
  <c r="AF39" i="6"/>
  <c r="AI39" i="6"/>
  <c r="AG39" i="6"/>
  <c r="AI429" i="6"/>
  <c r="AI370" i="6"/>
  <c r="AI232" i="6"/>
  <c r="AG380" i="6"/>
  <c r="AG181" i="6"/>
  <c r="AF577" i="6"/>
  <c r="AI577" i="6"/>
  <c r="AG545" i="6"/>
  <c r="AI545" i="6"/>
  <c r="AF545" i="6"/>
  <c r="AI497" i="6"/>
  <c r="AF497" i="6"/>
  <c r="AF461" i="6"/>
  <c r="AI461" i="6"/>
  <c r="AG461" i="6"/>
  <c r="AI413" i="6"/>
  <c r="AG413" i="6"/>
  <c r="AF388" i="6"/>
  <c r="AI388" i="6"/>
  <c r="AG388" i="6"/>
  <c r="AI318" i="6"/>
  <c r="AG318" i="6"/>
  <c r="AF294" i="6"/>
  <c r="AI294" i="6"/>
  <c r="AG294" i="6"/>
  <c r="AG272" i="6"/>
  <c r="AF272" i="6"/>
  <c r="AF248" i="6"/>
  <c r="AI248" i="6"/>
  <c r="AG248" i="6"/>
  <c r="AI158" i="6"/>
  <c r="AG158" i="6"/>
  <c r="AI71" i="6"/>
  <c r="AG71" i="6"/>
  <c r="AF71" i="6"/>
  <c r="AI372" i="6"/>
  <c r="AI174" i="6"/>
  <c r="AF529" i="6"/>
  <c r="AF110" i="6"/>
  <c r="AI601" i="6"/>
  <c r="AG601" i="6"/>
  <c r="AF513" i="6"/>
  <c r="AI513" i="6"/>
  <c r="AG513" i="6"/>
  <c r="AF344" i="6"/>
  <c r="AI344" i="6"/>
  <c r="AI54" i="6"/>
  <c r="AG54" i="6"/>
  <c r="AI181" i="6"/>
  <c r="AG342" i="6"/>
  <c r="AG131" i="6"/>
  <c r="AF318" i="6"/>
  <c r="AI569" i="6"/>
  <c r="AF569" i="6"/>
  <c r="AI537" i="6"/>
  <c r="AG537" i="6"/>
  <c r="AG475" i="6"/>
  <c r="AI475" i="6"/>
  <c r="AF475" i="6"/>
  <c r="AI421" i="6"/>
  <c r="AG421" i="6"/>
  <c r="AF421" i="6"/>
  <c r="AI208" i="6"/>
  <c r="AG208" i="6"/>
  <c r="AF189" i="6"/>
  <c r="AI189" i="6"/>
  <c r="AI166" i="6"/>
  <c r="AG166" i="6"/>
  <c r="AF166" i="6"/>
  <c r="AI80" i="6"/>
  <c r="AI334" i="6"/>
  <c r="AI123" i="6"/>
  <c r="AG497" i="6"/>
  <c r="AG344" i="6"/>
  <c r="AG139" i="6"/>
  <c r="AF54" i="6"/>
  <c r="AI593" i="6"/>
  <c r="AG593" i="6"/>
  <c r="AI505" i="6"/>
  <c r="AF505" i="6"/>
  <c r="AI469" i="6"/>
  <c r="AG469" i="6"/>
  <c r="AF445" i="6"/>
  <c r="AI445" i="6"/>
  <c r="AI405" i="6"/>
  <c r="AG405" i="6"/>
  <c r="AI357" i="6"/>
  <c r="AG357" i="6"/>
  <c r="AI310" i="6"/>
  <c r="AG310" i="6"/>
  <c r="AI263" i="6"/>
  <c r="AG263" i="6"/>
  <c r="AG226" i="6"/>
  <c r="AF226" i="6"/>
  <c r="AI63" i="6"/>
  <c r="AG63" i="6"/>
  <c r="AI342" i="6"/>
  <c r="AI131" i="6"/>
  <c r="AG505" i="6"/>
  <c r="AG279" i="6"/>
  <c r="AG80" i="6"/>
  <c r="AF405" i="6"/>
  <c r="AF63" i="6"/>
  <c r="AI31" i="6"/>
  <c r="AG420" i="6"/>
  <c r="AF420" i="6"/>
  <c r="AG379" i="6"/>
  <c r="AF379" i="6"/>
  <c r="AG286" i="6"/>
  <c r="AF286" i="6"/>
  <c r="AG231" i="6"/>
  <c r="AF231" i="6"/>
  <c r="AG165" i="6"/>
  <c r="AF165" i="6"/>
  <c r="AG130" i="6"/>
  <c r="AI130" i="6"/>
  <c r="AF130" i="6"/>
  <c r="AG93" i="6"/>
  <c r="AI93" i="6"/>
  <c r="AF93" i="6"/>
  <c r="AG70" i="6"/>
  <c r="AI70" i="6"/>
  <c r="AF70" i="6"/>
  <c r="AG468" i="6"/>
  <c r="AF468" i="6"/>
  <c r="AG412" i="6"/>
  <c r="AF412" i="6"/>
  <c r="AG333" i="6"/>
  <c r="AF333" i="6"/>
  <c r="AG278" i="6"/>
  <c r="AF278" i="6"/>
  <c r="AG247" i="6"/>
  <c r="AF247" i="6"/>
  <c r="AG157" i="6"/>
  <c r="AF157" i="6"/>
  <c r="AG122" i="6"/>
  <c r="AI122" i="6"/>
  <c r="AF122" i="6"/>
  <c r="AG79" i="6"/>
  <c r="AI79" i="6"/>
  <c r="AF79" i="6"/>
  <c r="AG30" i="6"/>
  <c r="AI30" i="6"/>
  <c r="AF30" i="6"/>
  <c r="AG428" i="6"/>
  <c r="AF428" i="6"/>
  <c r="AG369" i="6"/>
  <c r="AF369" i="6"/>
  <c r="AG317" i="6"/>
  <c r="AF317" i="6"/>
  <c r="AG225" i="6"/>
  <c r="AF225" i="6"/>
  <c r="AG188" i="6"/>
  <c r="AF188" i="6"/>
  <c r="AG109" i="6"/>
  <c r="AI109" i="6"/>
  <c r="AF109" i="6"/>
  <c r="AG46" i="6"/>
  <c r="AI46" i="6"/>
  <c r="AF46" i="6"/>
  <c r="AG444" i="6"/>
  <c r="AF444" i="6"/>
  <c r="AG395" i="6"/>
  <c r="AF395" i="6"/>
  <c r="AG325" i="6"/>
  <c r="AF325" i="6"/>
  <c r="AG271" i="6"/>
  <c r="AF271" i="6"/>
  <c r="AG238" i="6"/>
  <c r="AF238" i="6"/>
  <c r="AG196" i="6"/>
  <c r="AF196" i="6"/>
  <c r="AG149" i="6"/>
  <c r="AF149" i="6"/>
  <c r="AG53" i="6"/>
  <c r="AI53" i="6"/>
  <c r="AF53" i="6"/>
  <c r="AG452" i="6"/>
  <c r="AF452" i="6"/>
  <c r="AG404" i="6"/>
  <c r="AF404" i="6"/>
  <c r="AG309" i="6"/>
  <c r="AF309" i="6"/>
  <c r="AG219" i="6"/>
  <c r="AF219" i="6"/>
  <c r="AG180" i="6"/>
  <c r="AF180" i="6"/>
  <c r="AG138" i="6"/>
  <c r="AF138" i="6"/>
  <c r="AG87" i="6"/>
  <c r="AI87" i="6"/>
  <c r="AF87" i="6"/>
  <c r="AG62" i="6"/>
  <c r="AI62" i="6"/>
  <c r="AF62" i="6"/>
  <c r="AG460" i="6"/>
  <c r="AF460" i="6"/>
  <c r="AG387" i="6"/>
  <c r="AF387" i="6"/>
  <c r="AG351" i="6"/>
  <c r="AF351" i="6"/>
  <c r="AG301" i="6"/>
  <c r="AF301" i="6"/>
  <c r="AG254" i="6"/>
  <c r="AF254" i="6"/>
  <c r="AG173" i="6"/>
  <c r="AF173" i="6"/>
  <c r="AG22" i="6"/>
  <c r="AI22" i="6"/>
  <c r="AF22" i="6"/>
  <c r="AI351" i="6"/>
  <c r="AI333" i="6"/>
  <c r="AI325" i="6"/>
  <c r="AI317" i="6"/>
  <c r="AI309" i="6"/>
  <c r="AI301" i="6"/>
  <c r="AI286" i="6"/>
  <c r="AI278" i="6"/>
  <c r="AI271" i="6"/>
  <c r="AI254" i="6"/>
  <c r="AI247" i="6"/>
  <c r="AI238" i="6"/>
  <c r="AI231" i="6"/>
  <c r="AI225" i="6"/>
  <c r="AI219" i="6"/>
  <c r="AI196" i="6"/>
  <c r="AI188" i="6"/>
  <c r="AI180" i="6"/>
  <c r="AI173" i="6"/>
  <c r="AI165" i="6"/>
  <c r="AI157" i="6"/>
  <c r="AI149" i="6"/>
  <c r="AI138" i="6"/>
  <c r="AG436" i="6"/>
  <c r="AF436" i="6"/>
  <c r="AG371" i="6"/>
  <c r="AF371" i="6"/>
  <c r="AG341" i="6"/>
  <c r="AF341" i="6"/>
  <c r="AG262" i="6"/>
  <c r="AF262" i="6"/>
  <c r="AG215" i="6"/>
  <c r="AF215" i="6"/>
  <c r="AG146" i="6"/>
  <c r="AF146" i="6"/>
  <c r="AG101" i="6"/>
  <c r="AI101" i="6"/>
  <c r="AF101" i="6"/>
  <c r="AG38" i="6"/>
  <c r="AI38" i="6"/>
  <c r="AF38" i="6"/>
  <c r="AI468" i="6"/>
  <c r="AI460" i="6"/>
  <c r="AI452" i="6"/>
  <c r="AI444" i="6"/>
  <c r="AI436" i="6"/>
  <c r="AI428" i="6"/>
  <c r="AI420" i="6"/>
  <c r="AI412" i="6"/>
  <c r="AI404" i="6"/>
  <c r="AI395" i="6"/>
  <c r="AI387" i="6"/>
  <c r="AI379" i="6"/>
  <c r="AI371" i="6"/>
  <c r="AI369" i="6"/>
  <c r="AG618" i="6"/>
  <c r="AG597" i="6"/>
  <c r="AG589" i="6"/>
  <c r="AG583" i="6"/>
  <c r="AG577" i="6"/>
  <c r="AG570" i="6"/>
  <c r="AG562" i="6"/>
  <c r="AG554" i="6"/>
  <c r="AG540" i="6"/>
  <c r="AG532" i="6"/>
  <c r="AG524" i="6"/>
  <c r="AG516" i="6"/>
  <c r="AG508" i="6"/>
  <c r="AG500" i="6"/>
  <c r="AG492" i="6"/>
  <c r="AG478" i="6"/>
  <c r="AG474" i="6"/>
  <c r="I216" i="22"/>
  <c r="I215" i="22"/>
  <c r="I214" i="22"/>
  <c r="I213" i="22"/>
  <c r="I212" i="22"/>
  <c r="I211" i="22"/>
  <c r="I210" i="22"/>
  <c r="I209" i="22"/>
  <c r="I208" i="22"/>
  <c r="I207" i="22"/>
  <c r="I206" i="22"/>
  <c r="I205" i="22"/>
  <c r="I204" i="22"/>
  <c r="I203" i="22"/>
  <c r="I202" i="22"/>
  <c r="I201" i="22"/>
  <c r="I200" i="22"/>
  <c r="I199" i="22"/>
  <c r="I198" i="22"/>
  <c r="I197" i="22"/>
  <c r="G196" i="22"/>
  <c r="C190" i="22"/>
  <c r="G188" i="22"/>
  <c r="B186" i="22"/>
  <c r="A218" i="22" s="1"/>
  <c r="I249" i="22"/>
  <c r="I248" i="22"/>
  <c r="I247" i="22"/>
  <c r="I246" i="22"/>
  <c r="I245" i="22"/>
  <c r="I244" i="22"/>
  <c r="I243" i="22"/>
  <c r="I242" i="22"/>
  <c r="I241" i="22"/>
  <c r="I240" i="22"/>
  <c r="I239" i="22"/>
  <c r="I238" i="22"/>
  <c r="I237" i="22"/>
  <c r="I236" i="22"/>
  <c r="I235" i="22"/>
  <c r="I234" i="22"/>
  <c r="I233" i="22"/>
  <c r="I232" i="22"/>
  <c r="I231" i="22"/>
  <c r="I230" i="22"/>
  <c r="G229" i="22"/>
  <c r="C223" i="22"/>
  <c r="G221" i="22"/>
  <c r="B219" i="22"/>
  <c r="A251" i="22" s="1"/>
  <c r="I386" i="22" l="1"/>
  <c r="I387" i="22"/>
  <c r="I388" i="22"/>
  <c r="I389" i="22"/>
  <c r="I347" i="22"/>
  <c r="I348" i="22"/>
  <c r="I349" i="22"/>
  <c r="I350" i="22"/>
  <c r="I112" i="22"/>
  <c r="I113" i="22"/>
  <c r="I114" i="22"/>
  <c r="I115" i="22"/>
  <c r="I116" i="22"/>
  <c r="I117" i="22"/>
  <c r="I81" i="22"/>
  <c r="I82" i="22"/>
  <c r="I83" i="22"/>
  <c r="I84" i="22"/>
  <c r="I36" i="22"/>
  <c r="I37" i="22"/>
  <c r="I38" i="22"/>
  <c r="I39" i="22"/>
  <c r="I40" i="22"/>
  <c r="I41" i="22"/>
  <c r="I42" i="22"/>
  <c r="I43" i="22"/>
  <c r="I44" i="22"/>
  <c r="I45" i="22"/>
  <c r="I46" i="22"/>
  <c r="I47" i="22"/>
  <c r="I48" i="22"/>
  <c r="I49" i="22"/>
  <c r="I111" i="22"/>
  <c r="I110" i="22"/>
  <c r="I109" i="22"/>
  <c r="I108" i="22"/>
  <c r="I107" i="22"/>
  <c r="I106" i="22"/>
  <c r="I105" i="22"/>
  <c r="I104" i="22"/>
  <c r="I103" i="22"/>
  <c r="I102" i="22"/>
  <c r="I101" i="22"/>
  <c r="I100" i="22"/>
  <c r="I99" i="22"/>
  <c r="I98" i="22"/>
  <c r="G97" i="22"/>
  <c r="C91" i="22"/>
  <c r="G89" i="22"/>
  <c r="B87" i="22"/>
  <c r="A119" i="22" s="1"/>
  <c r="I315" i="22"/>
  <c r="I314" i="22"/>
  <c r="I313" i="22"/>
  <c r="I312" i="22"/>
  <c r="I311" i="22"/>
  <c r="I310" i="22"/>
  <c r="I309" i="22"/>
  <c r="I308" i="22"/>
  <c r="I307" i="22"/>
  <c r="I306" i="22"/>
  <c r="I305" i="22"/>
  <c r="I304" i="22"/>
  <c r="I303" i="22"/>
  <c r="I302" i="22"/>
  <c r="I301" i="22"/>
  <c r="I300" i="22"/>
  <c r="I299" i="22"/>
  <c r="I298" i="22"/>
  <c r="I297" i="22"/>
  <c r="I296" i="22"/>
  <c r="G295" i="22"/>
  <c r="C289" i="22"/>
  <c r="G287" i="22"/>
  <c r="B285" i="22"/>
  <c r="A317" i="22" s="1"/>
  <c r="I383" i="22"/>
  <c r="I384" i="22"/>
  <c r="I385" i="22"/>
  <c r="I382" i="22"/>
  <c r="I381" i="22"/>
  <c r="I380" i="22"/>
  <c r="I379" i="22"/>
  <c r="I378" i="22"/>
  <c r="I377" i="22"/>
  <c r="I376" i="22"/>
  <c r="I375" i="22"/>
  <c r="I374" i="22"/>
  <c r="I373" i="22"/>
  <c r="I372" i="22"/>
  <c r="I371" i="22"/>
  <c r="I370" i="22"/>
  <c r="I369" i="22"/>
  <c r="I368" i="22"/>
  <c r="I367" i="22"/>
  <c r="I366" i="22"/>
  <c r="I365" i="22"/>
  <c r="I364" i="22"/>
  <c r="G363" i="22"/>
  <c r="C357" i="22"/>
  <c r="G355" i="22"/>
  <c r="B353" i="22"/>
  <c r="A391" i="22" s="1"/>
  <c r="I346" i="22"/>
  <c r="I345" i="22"/>
  <c r="I344" i="22"/>
  <c r="I343" i="22"/>
  <c r="I342" i="22"/>
  <c r="I341" i="22"/>
  <c r="I340" i="22"/>
  <c r="I339" i="22"/>
  <c r="I338" i="22"/>
  <c r="I337" i="22"/>
  <c r="I336" i="22"/>
  <c r="I335" i="22"/>
  <c r="I334" i="22"/>
  <c r="I333" i="22"/>
  <c r="I332" i="22"/>
  <c r="I331" i="22"/>
  <c r="I330" i="22"/>
  <c r="I329" i="22"/>
  <c r="G328" i="22"/>
  <c r="C322" i="22"/>
  <c r="G320" i="22"/>
  <c r="B318" i="22"/>
  <c r="A352" i="22" s="1"/>
  <c r="C27" i="22"/>
  <c r="E38" i="13"/>
  <c r="I80" i="22" l="1"/>
  <c r="I79" i="22"/>
  <c r="I78" i="22"/>
  <c r="I77" i="22"/>
  <c r="I76" i="22"/>
  <c r="I75" i="22"/>
  <c r="I74" i="22"/>
  <c r="I73" i="22"/>
  <c r="I72" i="22"/>
  <c r="I71" i="22"/>
  <c r="I70" i="22"/>
  <c r="I69" i="22"/>
  <c r="I68" i="22"/>
  <c r="I67" i="22"/>
  <c r="I66" i="22"/>
  <c r="I65" i="22"/>
  <c r="I64" i="22"/>
  <c r="I63" i="22"/>
  <c r="G62" i="22"/>
  <c r="C56" i="22"/>
  <c r="G54" i="22"/>
  <c r="B52" i="22"/>
  <c r="A86" i="22" s="1"/>
  <c r="I455" i="22" l="1"/>
  <c r="I454" i="22"/>
  <c r="I453" i="22"/>
  <c r="I452" i="22"/>
  <c r="I451" i="22"/>
  <c r="I450" i="22"/>
  <c r="I449" i="22"/>
  <c r="I448" i="22"/>
  <c r="I447" i="22"/>
  <c r="I446" i="22"/>
  <c r="I445" i="22"/>
  <c r="I444" i="22"/>
  <c r="I443" i="22"/>
  <c r="I442" i="22"/>
  <c r="I441" i="22"/>
  <c r="I440" i="22"/>
  <c r="I439" i="22"/>
  <c r="I438" i="22"/>
  <c r="I437" i="22"/>
  <c r="I436" i="22"/>
  <c r="G435" i="22"/>
  <c r="C429" i="22"/>
  <c r="G427" i="22"/>
  <c r="B425" i="22"/>
  <c r="A457" i="22" s="1"/>
  <c r="I422" i="22"/>
  <c r="I421" i="22"/>
  <c r="I420" i="22"/>
  <c r="I419" i="22"/>
  <c r="I418" i="22"/>
  <c r="I417" i="22"/>
  <c r="I416" i="22"/>
  <c r="I415" i="22"/>
  <c r="I414" i="22"/>
  <c r="I413" i="22"/>
  <c r="I412" i="22"/>
  <c r="I411" i="22"/>
  <c r="I410" i="22"/>
  <c r="I409" i="22"/>
  <c r="I408" i="22"/>
  <c r="I407" i="22"/>
  <c r="I406" i="22"/>
  <c r="I405" i="22"/>
  <c r="I404" i="22"/>
  <c r="I403" i="22"/>
  <c r="G402" i="22"/>
  <c r="C396" i="22"/>
  <c r="G394" i="22"/>
  <c r="B392" i="22"/>
  <c r="A424" i="22" s="1"/>
  <c r="I282" i="22"/>
  <c r="I281" i="22"/>
  <c r="I280" i="22"/>
  <c r="I279" i="22"/>
  <c r="I278" i="22"/>
  <c r="I277" i="22"/>
  <c r="I276" i="22"/>
  <c r="I275" i="22"/>
  <c r="I274" i="22"/>
  <c r="I273" i="22"/>
  <c r="I272" i="22"/>
  <c r="I271" i="22"/>
  <c r="I270" i="22"/>
  <c r="I269" i="22"/>
  <c r="I268" i="22"/>
  <c r="I267" i="22"/>
  <c r="I266" i="22"/>
  <c r="I265" i="22"/>
  <c r="I264" i="22"/>
  <c r="I263" i="22"/>
  <c r="G262" i="22"/>
  <c r="C256" i="22"/>
  <c r="G254" i="22"/>
  <c r="B252" i="22"/>
  <c r="A284" i="22" s="1"/>
  <c r="I183" i="22"/>
  <c r="I182" i="22"/>
  <c r="I181" i="22"/>
  <c r="I180" i="22"/>
  <c r="I179" i="22"/>
  <c r="I178" i="22"/>
  <c r="I177" i="22"/>
  <c r="I176" i="22"/>
  <c r="I175" i="22"/>
  <c r="I174" i="22"/>
  <c r="I173" i="22"/>
  <c r="I172" i="22"/>
  <c r="I171" i="22"/>
  <c r="I170" i="22"/>
  <c r="I169" i="22"/>
  <c r="I168" i="22"/>
  <c r="I167" i="22"/>
  <c r="I166" i="22"/>
  <c r="I165" i="22"/>
  <c r="I164" i="22"/>
  <c r="G163" i="22"/>
  <c r="C157" i="22"/>
  <c r="G155" i="22"/>
  <c r="B153" i="22"/>
  <c r="A185" i="22" s="1"/>
  <c r="C124" i="22" l="1"/>
  <c r="B23" i="22"/>
  <c r="A51" i="22" s="1"/>
  <c r="B17" i="13"/>
  <c r="E17" i="22" l="1"/>
  <c r="C17" i="22"/>
  <c r="I150" i="22"/>
  <c r="I149" i="22"/>
  <c r="I148" i="22"/>
  <c r="I147" i="22"/>
  <c r="I146" i="22"/>
  <c r="I145" i="22"/>
  <c r="I144" i="22"/>
  <c r="I143" i="22"/>
  <c r="I142" i="22"/>
  <c r="I141" i="22"/>
  <c r="I140" i="22"/>
  <c r="I139" i="22"/>
  <c r="I138" i="22"/>
  <c r="I137" i="22"/>
  <c r="I136" i="22"/>
  <c r="I135" i="22"/>
  <c r="I134" i="22"/>
  <c r="I133" i="22"/>
  <c r="I132" i="22"/>
  <c r="I131" i="22"/>
  <c r="G130" i="22"/>
  <c r="G122" i="22"/>
  <c r="G25" i="22"/>
  <c r="B120" i="22"/>
  <c r="A152" i="22" s="1"/>
  <c r="B84" i="13"/>
  <c r="AA1" i="22" l="1" a="1"/>
  <c r="AA1" i="22" l="1"/>
  <c r="AA24" i="22"/>
  <c r="AA6" i="22"/>
  <c r="AA4" i="22"/>
  <c r="AA2" i="22"/>
  <c r="AA12" i="22"/>
  <c r="AA16" i="22"/>
  <c r="AA29" i="22"/>
  <c r="AA27" i="22"/>
  <c r="AA25" i="22"/>
  <c r="AA13" i="22"/>
  <c r="AA9" i="22"/>
  <c r="AA18" i="22"/>
  <c r="AA14" i="22"/>
  <c r="AA8" i="22"/>
  <c r="AA21" i="22"/>
  <c r="AA19" i="22"/>
  <c r="AA17" i="22"/>
  <c r="AA23" i="22"/>
  <c r="AA11" i="22"/>
  <c r="AA20" i="22"/>
  <c r="AA10" i="22"/>
  <c r="AA15" i="22"/>
  <c r="AA5" i="22"/>
  <c r="AA3" i="22"/>
  <c r="AA28" i="22"/>
  <c r="AA26" i="22"/>
  <c r="AA22" i="22"/>
  <c r="AA7" i="22"/>
  <c r="G16" i="23"/>
  <c r="G18" i="23"/>
  <c r="G20" i="23"/>
  <c r="G22" i="23"/>
  <c r="G24" i="23"/>
  <c r="G25" i="23"/>
  <c r="F29" i="23"/>
  <c r="E29" i="23"/>
  <c r="D29" i="23"/>
  <c r="D20" i="23" l="1"/>
  <c r="F17" i="23"/>
  <c r="E17" i="23"/>
  <c r="D17" i="23"/>
  <c r="F21" i="23"/>
  <c r="E21" i="23"/>
  <c r="D21" i="23"/>
  <c r="B2" i="24"/>
  <c r="Q2" i="24"/>
  <c r="R2" i="24"/>
  <c r="S2" i="24"/>
  <c r="T2" i="24"/>
  <c r="U2" i="24"/>
  <c r="V2" i="24"/>
  <c r="D2" i="24"/>
  <c r="E2" i="24"/>
  <c r="F2" i="24"/>
  <c r="G2" i="24"/>
  <c r="H2" i="24"/>
  <c r="I2" i="24"/>
  <c r="J2" i="24"/>
  <c r="K2" i="24"/>
  <c r="L2" i="24"/>
  <c r="M2" i="24"/>
  <c r="N2" i="24"/>
  <c r="O2" i="24"/>
  <c r="P2" i="24"/>
  <c r="C2" i="24"/>
  <c r="D16" i="23" l="1"/>
  <c r="D18" i="23" s="1"/>
  <c r="D30" i="23" l="1"/>
  <c r="D22" i="23"/>
  <c r="D24" i="23" l="1"/>
  <c r="E39" i="13"/>
  <c r="E245" i="13"/>
  <c r="E42" i="13"/>
  <c r="E248" i="13"/>
  <c r="E45" i="13"/>
  <c r="E36" i="13"/>
  <c r="E239" i="13"/>
  <c r="E40" i="13"/>
  <c r="E37" i="13"/>
  <c r="E246" i="13"/>
  <c r="E251" i="13"/>
  <c r="E43" i="13"/>
  <c r="E244" i="13"/>
  <c r="E249" i="13"/>
  <c r="E44" i="13"/>
  <c r="E241" i="13"/>
  <c r="E243" i="13"/>
  <c r="E240" i="13"/>
  <c r="E41" i="13"/>
  <c r="D38" i="23" l="1"/>
  <c r="E12" i="18" l="1"/>
  <c r="F15" i="18" l="1"/>
  <c r="D16" i="18"/>
  <c r="D15" i="18"/>
  <c r="D14" i="18"/>
  <c r="D13" i="18"/>
  <c r="F17" i="18"/>
  <c r="E13" i="18"/>
  <c r="D12" i="18"/>
  <c r="F16" i="18"/>
  <c r="F12" i="18"/>
  <c r="E15" i="18"/>
  <c r="F14" i="18"/>
  <c r="E14" i="18"/>
  <c r="F13" i="18"/>
  <c r="E17" i="18"/>
  <c r="D17" i="18"/>
  <c r="E16" i="18"/>
  <c r="C281" i="13"/>
  <c r="B280" i="13"/>
  <c r="S278" i="13"/>
  <c r="N278" i="13"/>
  <c r="I278" i="13"/>
  <c r="S277" i="13"/>
  <c r="I277" i="13"/>
  <c r="S276" i="13"/>
  <c r="I276" i="13"/>
  <c r="S275" i="13"/>
  <c r="N275" i="13"/>
  <c r="I275" i="13"/>
  <c r="S274" i="13"/>
  <c r="N274" i="13"/>
  <c r="I274" i="13"/>
  <c r="S273" i="13"/>
  <c r="I273" i="13"/>
  <c r="S272" i="13"/>
  <c r="I272" i="13"/>
  <c r="S271" i="13"/>
  <c r="N271" i="13"/>
  <c r="I271" i="13"/>
  <c r="S270" i="13"/>
  <c r="N270" i="13"/>
  <c r="I270" i="13"/>
  <c r="S269" i="13"/>
  <c r="S268" i="13"/>
  <c r="I268" i="13"/>
  <c r="S267" i="13"/>
  <c r="N267" i="13"/>
  <c r="I267" i="13"/>
  <c r="S266" i="13"/>
  <c r="N266" i="13"/>
  <c r="I266" i="13"/>
  <c r="S265" i="13"/>
  <c r="S264" i="13"/>
  <c r="S263" i="13"/>
  <c r="S262" i="13"/>
  <c r="S261" i="13"/>
  <c r="S260" i="13"/>
  <c r="S259" i="13"/>
  <c r="S258" i="13"/>
  <c r="S257" i="13"/>
  <c r="S256" i="13"/>
  <c r="S255" i="13"/>
  <c r="S254" i="13"/>
  <c r="S253" i="13"/>
  <c r="S252" i="13"/>
  <c r="S251" i="13"/>
  <c r="S250" i="13"/>
  <c r="S249" i="13"/>
  <c r="S248" i="13"/>
  <c r="S247" i="13"/>
  <c r="S246" i="13"/>
  <c r="S245" i="13"/>
  <c r="S244" i="13"/>
  <c r="S243" i="13"/>
  <c r="S242" i="13"/>
  <c r="S241" i="13"/>
  <c r="S240" i="13"/>
  <c r="S239" i="13"/>
  <c r="B236" i="13"/>
  <c r="E234" i="13"/>
  <c r="E231" i="13"/>
  <c r="E227" i="13"/>
  <c r="B225" i="13"/>
  <c r="B220" i="13"/>
  <c r="A286" i="13" s="1"/>
  <c r="C214" i="13"/>
  <c r="B213" i="13"/>
  <c r="S211" i="13"/>
  <c r="I211" i="13"/>
  <c r="S210" i="13"/>
  <c r="N210" i="13"/>
  <c r="I210" i="13"/>
  <c r="S209" i="13"/>
  <c r="N209" i="13"/>
  <c r="I209" i="13"/>
  <c r="S208" i="13"/>
  <c r="N208" i="13"/>
  <c r="I208" i="13"/>
  <c r="S207" i="13"/>
  <c r="I207" i="13"/>
  <c r="S206" i="13"/>
  <c r="S205" i="13"/>
  <c r="S204" i="13"/>
  <c r="S203" i="13"/>
  <c r="S202" i="13"/>
  <c r="S201" i="13"/>
  <c r="S200" i="13"/>
  <c r="S199" i="13"/>
  <c r="S198" i="13"/>
  <c r="S197" i="13"/>
  <c r="B194" i="13"/>
  <c r="E192" i="13"/>
  <c r="E189" i="13"/>
  <c r="E185" i="13"/>
  <c r="B183" i="13"/>
  <c r="B178" i="13"/>
  <c r="A219" i="13" s="1"/>
  <c r="C172" i="13"/>
  <c r="B171" i="13"/>
  <c r="S169" i="13"/>
  <c r="N169" i="13"/>
  <c r="I169" i="13"/>
  <c r="S168" i="13"/>
  <c r="I168" i="13"/>
  <c r="S167" i="13"/>
  <c r="I167" i="13"/>
  <c r="S166" i="13"/>
  <c r="N166" i="13"/>
  <c r="I166" i="13"/>
  <c r="S165" i="13"/>
  <c r="I165" i="13"/>
  <c r="S164" i="13"/>
  <c r="S163" i="13"/>
  <c r="S162" i="13"/>
  <c r="S161" i="13"/>
  <c r="S160" i="13"/>
  <c r="S159" i="13"/>
  <c r="S158" i="13"/>
  <c r="S157" i="13"/>
  <c r="S156" i="13"/>
  <c r="S155" i="13"/>
  <c r="S154" i="13"/>
  <c r="S153" i="13"/>
  <c r="S152" i="13"/>
  <c r="S151" i="13"/>
  <c r="S150" i="13"/>
  <c r="B147" i="13"/>
  <c r="E145" i="13"/>
  <c r="E142" i="13"/>
  <c r="E138" i="13"/>
  <c r="B136" i="13"/>
  <c r="B131" i="13"/>
  <c r="A177" i="13" s="1"/>
  <c r="B77" i="13"/>
  <c r="B124" i="13"/>
  <c r="A130" i="13"/>
  <c r="C125" i="13"/>
  <c r="S122" i="13"/>
  <c r="N122" i="13"/>
  <c r="I122" i="13"/>
  <c r="S121" i="13"/>
  <c r="I121" i="13"/>
  <c r="S120" i="13"/>
  <c r="N120" i="13"/>
  <c r="I120" i="13"/>
  <c r="S119" i="13"/>
  <c r="N119" i="13"/>
  <c r="I119" i="13"/>
  <c r="S118" i="13"/>
  <c r="N118" i="13"/>
  <c r="I118" i="13"/>
  <c r="S117" i="13"/>
  <c r="S116" i="13"/>
  <c r="S115" i="13"/>
  <c r="S114" i="13"/>
  <c r="S113" i="13"/>
  <c r="S112" i="13"/>
  <c r="S111" i="13"/>
  <c r="S110" i="13"/>
  <c r="S109" i="13"/>
  <c r="S108" i="13"/>
  <c r="S107" i="13"/>
  <c r="S106" i="13"/>
  <c r="S105" i="13"/>
  <c r="S104" i="13"/>
  <c r="S103" i="13"/>
  <c r="B100" i="13"/>
  <c r="E98" i="13"/>
  <c r="E95" i="13"/>
  <c r="E91" i="13"/>
  <c r="B89" i="13"/>
  <c r="I269" i="13"/>
  <c r="P119" i="13"/>
  <c r="T117" i="13"/>
  <c r="T163" i="13"/>
  <c r="H242" i="13"/>
  <c r="T114" i="13"/>
  <c r="P271" i="13"/>
  <c r="T262" i="13"/>
  <c r="T270" i="13"/>
  <c r="H262" i="13"/>
  <c r="I240" i="13"/>
  <c r="E260" i="13"/>
  <c r="O119" i="13"/>
  <c r="H275" i="13"/>
  <c r="I239" i="13"/>
  <c r="T209" i="13"/>
  <c r="H104" i="13"/>
  <c r="E118" i="13"/>
  <c r="T256" i="13"/>
  <c r="E166" i="13"/>
  <c r="H259" i="13"/>
  <c r="I110" i="13"/>
  <c r="E266" i="13"/>
  <c r="T244" i="13"/>
  <c r="T240" i="13"/>
  <c r="P166" i="13"/>
  <c r="I152" i="13"/>
  <c r="E278" i="13"/>
  <c r="T211" i="13"/>
  <c r="H243" i="13"/>
  <c r="I262" i="13"/>
  <c r="I244" i="13"/>
  <c r="T205" i="13"/>
  <c r="I107" i="13"/>
  <c r="E121" i="13"/>
  <c r="E205" i="13"/>
  <c r="H197" i="13"/>
  <c r="T110" i="13"/>
  <c r="T210" i="13"/>
  <c r="T107" i="13"/>
  <c r="I249" i="13"/>
  <c r="T273" i="13"/>
  <c r="E198" i="13"/>
  <c r="T164" i="13"/>
  <c r="H160" i="13"/>
  <c r="H122" i="13"/>
  <c r="E259" i="13"/>
  <c r="H105" i="13"/>
  <c r="O270" i="13"/>
  <c r="I245" i="13"/>
  <c r="H109" i="13"/>
  <c r="H211" i="13"/>
  <c r="P277" i="13"/>
  <c r="E210" i="13"/>
  <c r="P168" i="13"/>
  <c r="T268" i="13"/>
  <c r="T119" i="13"/>
  <c r="H115" i="13"/>
  <c r="H241" i="13"/>
  <c r="I246" i="13"/>
  <c r="T245" i="13"/>
  <c r="T108" i="13"/>
  <c r="I258" i="13"/>
  <c r="T162" i="13"/>
  <c r="H247" i="13"/>
  <c r="H121" i="13"/>
  <c r="E165" i="13"/>
  <c r="O266" i="13"/>
  <c r="H261" i="13"/>
  <c r="H110" i="13"/>
  <c r="T161" i="13"/>
  <c r="T242" i="13"/>
  <c r="O209" i="13"/>
  <c r="I251" i="13"/>
  <c r="H274" i="13"/>
  <c r="T206" i="13"/>
  <c r="T122" i="13"/>
  <c r="E275" i="13"/>
  <c r="E211" i="13"/>
  <c r="T115" i="13"/>
  <c r="E168" i="13"/>
  <c r="H111" i="13"/>
  <c r="P268" i="13"/>
  <c r="T168" i="13"/>
  <c r="E209" i="13"/>
  <c r="P169" i="13"/>
  <c r="P208" i="13"/>
  <c r="I250" i="13"/>
  <c r="I247" i="13"/>
  <c r="P274" i="13"/>
  <c r="H210" i="13"/>
  <c r="I252" i="13"/>
  <c r="H167" i="13"/>
  <c r="H277" i="13"/>
  <c r="H201" i="13"/>
  <c r="I242" i="13"/>
  <c r="I108" i="13"/>
  <c r="H260" i="13"/>
  <c r="T264" i="13"/>
  <c r="H153" i="13"/>
  <c r="I111" i="13"/>
  <c r="E201" i="13"/>
  <c r="H198" i="13"/>
  <c r="I112" i="13"/>
  <c r="P267" i="13"/>
  <c r="T271" i="13"/>
  <c r="O271" i="13"/>
  <c r="P273" i="13"/>
  <c r="I199" i="13"/>
  <c r="I164" i="13"/>
  <c r="H202" i="13"/>
  <c r="H154" i="13"/>
  <c r="I241" i="13"/>
  <c r="T121" i="13"/>
  <c r="H269" i="13"/>
  <c r="T202" i="13"/>
  <c r="T275" i="13"/>
  <c r="I198" i="13"/>
  <c r="H249" i="13"/>
  <c r="I205" i="13"/>
  <c r="H165" i="13"/>
  <c r="E200" i="13"/>
  <c r="T267" i="13"/>
  <c r="T197" i="13"/>
  <c r="T208" i="13"/>
  <c r="E120" i="13"/>
  <c r="I151" i="13"/>
  <c r="E268" i="13"/>
  <c r="H271" i="13"/>
  <c r="H245" i="13"/>
  <c r="I254" i="13"/>
  <c r="I156" i="13"/>
  <c r="H199" i="13"/>
  <c r="T200" i="13"/>
  <c r="T198" i="13"/>
  <c r="H107" i="13"/>
  <c r="E119" i="13"/>
  <c r="H263" i="13"/>
  <c r="I163" i="13"/>
  <c r="I162" i="13"/>
  <c r="T261" i="13"/>
  <c r="I203" i="13"/>
  <c r="I202" i="13"/>
  <c r="O169" i="13"/>
  <c r="H112" i="13"/>
  <c r="O166" i="13"/>
  <c r="O118" i="13"/>
  <c r="P209" i="13"/>
  <c r="H108" i="13"/>
  <c r="H118" i="13"/>
  <c r="T239" i="13"/>
  <c r="H252" i="13"/>
  <c r="P275" i="13"/>
  <c r="H103" i="13"/>
  <c r="T116" i="13"/>
  <c r="E264" i="13"/>
  <c r="I106" i="13"/>
  <c r="T258" i="13"/>
  <c r="H117" i="13"/>
  <c r="T263" i="13"/>
  <c r="I264" i="13"/>
  <c r="H120" i="13"/>
  <c r="T253" i="13"/>
  <c r="T259" i="13"/>
  <c r="E167" i="13"/>
  <c r="T118" i="13"/>
  <c r="H161" i="13"/>
  <c r="T150" i="13"/>
  <c r="T207" i="13"/>
  <c r="E269" i="13"/>
  <c r="E207" i="13"/>
  <c r="I260" i="13"/>
  <c r="I150" i="13"/>
  <c r="T111" i="13"/>
  <c r="E262" i="13"/>
  <c r="E204" i="13"/>
  <c r="I248" i="13"/>
  <c r="T274" i="13"/>
  <c r="P207" i="13"/>
  <c r="T251" i="13"/>
  <c r="T203" i="13"/>
  <c r="T255" i="13"/>
  <c r="I115" i="13"/>
  <c r="H239" i="13"/>
  <c r="I109" i="13"/>
  <c r="O274" i="13"/>
  <c r="H155" i="13"/>
  <c r="H209" i="13"/>
  <c r="I243" i="13"/>
  <c r="I159" i="13"/>
  <c r="P211" i="13"/>
  <c r="T112" i="13"/>
  <c r="H257" i="13"/>
  <c r="O267" i="13"/>
  <c r="H266" i="13"/>
  <c r="O275" i="13"/>
  <c r="H166" i="13"/>
  <c r="H265" i="13"/>
  <c r="E208" i="13"/>
  <c r="H168" i="13"/>
  <c r="H253" i="13"/>
  <c r="E271" i="13"/>
  <c r="T249" i="13"/>
  <c r="I158" i="13"/>
  <c r="H270" i="13"/>
  <c r="H276" i="13"/>
  <c r="I116" i="13"/>
  <c r="I114" i="13"/>
  <c r="T199" i="13"/>
  <c r="H255" i="13"/>
  <c r="E272" i="13"/>
  <c r="I253" i="13"/>
  <c r="T257" i="13"/>
  <c r="H248" i="13"/>
  <c r="H164" i="13"/>
  <c r="T260" i="13"/>
  <c r="T250" i="13"/>
  <c r="E270" i="13"/>
  <c r="E197" i="13"/>
  <c r="H272" i="13"/>
  <c r="H207" i="13"/>
  <c r="H113" i="13"/>
  <c r="T106" i="13"/>
  <c r="H240" i="13"/>
  <c r="T266" i="13"/>
  <c r="E274" i="13"/>
  <c r="T201" i="13"/>
  <c r="T276" i="13"/>
  <c r="H116" i="13"/>
  <c r="H204" i="13"/>
  <c r="H273" i="13"/>
  <c r="H159" i="13"/>
  <c r="T103" i="13"/>
  <c r="E276" i="13"/>
  <c r="I201" i="13"/>
  <c r="O278" i="13"/>
  <c r="I259" i="13"/>
  <c r="H256" i="13"/>
  <c r="T254" i="13"/>
  <c r="P272" i="13"/>
  <c r="H163" i="13"/>
  <c r="I263" i="13"/>
  <c r="T246" i="13"/>
  <c r="T109" i="13"/>
  <c r="T269" i="13"/>
  <c r="E277" i="13"/>
  <c r="T241" i="13"/>
  <c r="H106" i="13"/>
  <c r="T248" i="13"/>
  <c r="P276" i="13"/>
  <c r="E265" i="13"/>
  <c r="P269" i="13"/>
  <c r="T165" i="13"/>
  <c r="I113" i="13"/>
  <c r="H114" i="13"/>
  <c r="P118" i="13"/>
  <c r="O210" i="13"/>
  <c r="E203" i="13"/>
  <c r="O208" i="13"/>
  <c r="H264" i="13"/>
  <c r="I255" i="13"/>
  <c r="P270" i="13"/>
  <c r="E253" i="13"/>
  <c r="I117" i="13"/>
  <c r="I161" i="13"/>
  <c r="T252" i="13"/>
  <c r="H246" i="13"/>
  <c r="E206" i="13"/>
  <c r="I197" i="13"/>
  <c r="E267" i="13"/>
  <c r="I103" i="13"/>
  <c r="T166" i="13"/>
  <c r="H156" i="13"/>
  <c r="H258" i="13"/>
  <c r="P278" i="13"/>
  <c r="H250" i="13"/>
  <c r="T243" i="13"/>
  <c r="P122" i="13"/>
  <c r="E263" i="13"/>
  <c r="I257" i="13"/>
  <c r="I200" i="13"/>
  <c r="I105" i="13"/>
  <c r="E122" i="13"/>
  <c r="H151" i="13"/>
  <c r="T104" i="13"/>
  <c r="I265" i="13"/>
  <c r="O120" i="13"/>
  <c r="O122" i="13"/>
  <c r="E273" i="13"/>
  <c r="I104" i="13"/>
  <c r="P167" i="13"/>
  <c r="E202" i="13"/>
  <c r="H244" i="13"/>
  <c r="I154" i="13"/>
  <c r="T247" i="13"/>
  <c r="H254" i="13"/>
  <c r="I155" i="13"/>
  <c r="H208" i="13"/>
  <c r="H158" i="13"/>
  <c r="T113" i="13"/>
  <c r="E199" i="13"/>
  <c r="E261" i="13"/>
  <c r="H150" i="13"/>
  <c r="H267" i="13"/>
  <c r="E169" i="13"/>
  <c r="H268" i="13"/>
  <c r="T105" i="13"/>
  <c r="T278" i="13"/>
  <c r="I160" i="13"/>
  <c r="T169" i="13"/>
  <c r="H278" i="13"/>
  <c r="H152" i="13"/>
  <c r="I256" i="13"/>
  <c r="H119" i="13"/>
  <c r="H206" i="13"/>
  <c r="H157" i="13"/>
  <c r="I206" i="13"/>
  <c r="I204" i="13"/>
  <c r="I153" i="13"/>
  <c r="P121" i="13"/>
  <c r="I261" i="13"/>
  <c r="T277" i="13"/>
  <c r="I157" i="13"/>
  <c r="T120" i="13"/>
  <c r="H162" i="13"/>
  <c r="H200" i="13"/>
  <c r="T167" i="13"/>
  <c r="H203" i="13"/>
  <c r="T265" i="13"/>
  <c r="E254" i="13"/>
  <c r="H169" i="13"/>
  <c r="T204" i="13"/>
  <c r="H251" i="13"/>
  <c r="T272" i="13"/>
  <c r="H205" i="13"/>
  <c r="M13" i="18" l="1"/>
  <c r="M14" i="18"/>
  <c r="M17" i="18"/>
  <c r="M15" i="18"/>
  <c r="M16" i="18"/>
  <c r="M12" i="18"/>
  <c r="N165" i="13"/>
  <c r="N272" i="13"/>
  <c r="N276" i="13"/>
  <c r="N268" i="13"/>
  <c r="N273" i="13"/>
  <c r="N277" i="13"/>
  <c r="N207" i="13"/>
  <c r="N211" i="13"/>
  <c r="N167" i="13"/>
  <c r="N168" i="13"/>
  <c r="N121" i="13"/>
  <c r="S37" i="13"/>
  <c r="S38" i="13"/>
  <c r="S39" i="13"/>
  <c r="S40" i="13"/>
  <c r="S41" i="13"/>
  <c r="S42" i="13"/>
  <c r="S43" i="13"/>
  <c r="S44" i="13"/>
  <c r="S45" i="13"/>
  <c r="S46" i="13"/>
  <c r="S47" i="13"/>
  <c r="S48" i="13"/>
  <c r="S49" i="13"/>
  <c r="S50" i="13"/>
  <c r="S51" i="13"/>
  <c r="S52" i="13"/>
  <c r="S53" i="13"/>
  <c r="S54" i="13"/>
  <c r="S55" i="13"/>
  <c r="S56" i="13"/>
  <c r="S57" i="13"/>
  <c r="S58" i="13"/>
  <c r="S59" i="13"/>
  <c r="S60" i="13"/>
  <c r="S61" i="13"/>
  <c r="S62" i="13"/>
  <c r="S63" i="13"/>
  <c r="S64" i="13"/>
  <c r="S65" i="13"/>
  <c r="S66" i="13"/>
  <c r="S67" i="13"/>
  <c r="S68" i="13"/>
  <c r="S69" i="13"/>
  <c r="S70" i="13"/>
  <c r="S71" i="13"/>
  <c r="S72" i="13"/>
  <c r="S73" i="13"/>
  <c r="S74" i="13"/>
  <c r="S75" i="13"/>
  <c r="S36" i="13"/>
  <c r="C78" i="13"/>
  <c r="AA1" i="13" s="1" a="1"/>
  <c r="N269" i="13"/>
  <c r="T50" i="13"/>
  <c r="T47" i="13"/>
  <c r="P120" i="13"/>
  <c r="O276" i="13"/>
  <c r="T51" i="13"/>
  <c r="T48" i="13"/>
  <c r="T56" i="13"/>
  <c r="T55" i="13"/>
  <c r="T36" i="13"/>
  <c r="T71" i="13"/>
  <c r="T75" i="13"/>
  <c r="T45" i="13"/>
  <c r="O167" i="13"/>
  <c r="T37" i="13"/>
  <c r="T38" i="13"/>
  <c r="T53" i="13"/>
  <c r="T67" i="13"/>
  <c r="T73" i="13"/>
  <c r="O269" i="13"/>
  <c r="T40" i="13"/>
  <c r="T72" i="13"/>
  <c r="T39" i="13"/>
  <c r="T70" i="13"/>
  <c r="T74" i="13"/>
  <c r="O121" i="13"/>
  <c r="T62" i="13"/>
  <c r="T66" i="13"/>
  <c r="T49" i="13"/>
  <c r="T61" i="13"/>
  <c r="T63" i="13"/>
  <c r="O165" i="13"/>
  <c r="O268" i="13"/>
  <c r="O211" i="13"/>
  <c r="T59" i="13"/>
  <c r="P165" i="13"/>
  <c r="T41" i="13"/>
  <c r="P210" i="13"/>
  <c r="P266" i="13"/>
  <c r="T42" i="13"/>
  <c r="T57" i="13"/>
  <c r="T68" i="13"/>
  <c r="O207" i="13"/>
  <c r="T64" i="13"/>
  <c r="O277" i="13"/>
  <c r="T44" i="13"/>
  <c r="T58" i="13"/>
  <c r="T60" i="13"/>
  <c r="T43" i="13"/>
  <c r="T54" i="13"/>
  <c r="T65" i="13"/>
  <c r="T46" i="13"/>
  <c r="T69" i="13"/>
  <c r="O272" i="13"/>
  <c r="T52" i="13"/>
  <c r="O273" i="13"/>
  <c r="O168" i="13"/>
  <c r="AA1" i="13" l="1"/>
  <c r="AA13" i="13"/>
  <c r="AA21" i="13"/>
  <c r="AA11" i="13"/>
  <c r="AA9" i="13"/>
  <c r="AA3" i="13"/>
  <c r="AA20" i="13"/>
  <c r="AA17" i="13"/>
  <c r="AA32" i="13"/>
  <c r="AA2" i="13"/>
  <c r="AA5" i="13"/>
  <c r="AA26" i="13"/>
  <c r="AA18" i="13"/>
  <c r="AA16" i="13"/>
  <c r="AA24" i="13"/>
  <c r="AA28" i="13"/>
  <c r="AA33" i="13"/>
  <c r="AA31" i="13"/>
  <c r="AA8" i="13"/>
  <c r="AA22" i="13"/>
  <c r="AA15" i="13"/>
  <c r="AA23" i="13"/>
  <c r="AA12" i="13"/>
  <c r="AA10" i="13"/>
  <c r="AA19" i="13"/>
  <c r="AA30" i="13"/>
  <c r="AA7" i="13"/>
  <c r="AA4" i="13"/>
  <c r="AA25" i="13"/>
  <c r="AA14" i="13"/>
  <c r="AA27" i="13"/>
  <c r="AA29" i="13"/>
  <c r="AA6" i="13"/>
  <c r="B33" i="13"/>
  <c r="B22" i="13"/>
  <c r="A83" i="13"/>
  <c r="D71" i="18" l="1"/>
  <c r="D60" i="18"/>
  <c r="D38" i="18"/>
  <c r="D49" i="18"/>
  <c r="D27" i="18"/>
  <c r="E12" i="14" l="1"/>
  <c r="F12" i="14"/>
  <c r="H12" i="14"/>
  <c r="I12" i="14" l="1"/>
  <c r="B43" i="17" l="1"/>
  <c r="N51" i="15"/>
  <c r="D11" i="2" l="1"/>
  <c r="K39" i="2"/>
  <c r="K42" i="2"/>
  <c r="K44" i="2" s="1"/>
  <c r="K45" i="2" s="1"/>
  <c r="AM629" i="6" l="1"/>
  <c r="AM628" i="6"/>
  <c r="AM627" i="6"/>
  <c r="AM626" i="6"/>
  <c r="AM625" i="6"/>
  <c r="AM624" i="6"/>
  <c r="AM623" i="6"/>
  <c r="AM622" i="6"/>
  <c r="E93" i="9"/>
  <c r="E48" i="9"/>
  <c r="D93" i="9"/>
  <c r="D90" i="9"/>
  <c r="D45" i="9"/>
  <c r="D234" i="13"/>
  <c r="D192" i="13"/>
  <c r="D145" i="13"/>
  <c r="D98" i="13"/>
  <c r="D31" i="13"/>
  <c r="N12" i="18"/>
  <c r="N17" i="18"/>
  <c r="N14" i="18"/>
  <c r="N13" i="18"/>
  <c r="N16" i="18"/>
  <c r="N15" i="18"/>
  <c r="AM240" i="6"/>
  <c r="AM488" i="6"/>
  <c r="AM241" i="6"/>
  <c r="AM600" i="6"/>
  <c r="AM329" i="6"/>
  <c r="AM349" i="6"/>
  <c r="AM55" i="6"/>
  <c r="AM359" i="6"/>
  <c r="AM476" i="6"/>
  <c r="AM142" i="6"/>
  <c r="AM400" i="6"/>
  <c r="AM143" i="6"/>
  <c r="AM477" i="6"/>
  <c r="AM224" i="6"/>
  <c r="AM17" i="6"/>
  <c r="AM25" i="6"/>
  <c r="AM33" i="6"/>
  <c r="AM41" i="6"/>
  <c r="AM49" i="6"/>
  <c r="AM58" i="6"/>
  <c r="AM66" i="6"/>
  <c r="AM74" i="6"/>
  <c r="AM82" i="6"/>
  <c r="AM90" i="6"/>
  <c r="AM98" i="6"/>
  <c r="AM106" i="6"/>
  <c r="AM114" i="6"/>
  <c r="AM122" i="6"/>
  <c r="AM130" i="6"/>
  <c r="AM138" i="6"/>
  <c r="AM148" i="6"/>
  <c r="AM156" i="6"/>
  <c r="AM164" i="6"/>
  <c r="AM172" i="6"/>
  <c r="AM180" i="6"/>
  <c r="AM188" i="6"/>
  <c r="AM196" i="6"/>
  <c r="AM204" i="6"/>
  <c r="AM212" i="6"/>
  <c r="AM220" i="6"/>
  <c r="AM229" i="6"/>
  <c r="AM237" i="6"/>
  <c r="AM247" i="6"/>
  <c r="AM255" i="6"/>
  <c r="AM263" i="6"/>
  <c r="AM271" i="6"/>
  <c r="AM279" i="6"/>
  <c r="AM287" i="6"/>
  <c r="AM295" i="6"/>
  <c r="AM303" i="6"/>
  <c r="AM311" i="6"/>
  <c r="AM319" i="6"/>
  <c r="AM327" i="6"/>
  <c r="AM336" i="6"/>
  <c r="AM344" i="6"/>
  <c r="AM353" i="6"/>
  <c r="AM362" i="6"/>
  <c r="AM370" i="6"/>
  <c r="AM378" i="6"/>
  <c r="AM386" i="6"/>
  <c r="AM394" i="6"/>
  <c r="AM403" i="6"/>
  <c r="AM411" i="6"/>
  <c r="AM419" i="6"/>
  <c r="AM427" i="6"/>
  <c r="AM435" i="6"/>
  <c r="AM443" i="6"/>
  <c r="AM451" i="6"/>
  <c r="AM459" i="6"/>
  <c r="AM467" i="6"/>
  <c r="AM475" i="6"/>
  <c r="AM485" i="6"/>
  <c r="AM494" i="6"/>
  <c r="AM502" i="6"/>
  <c r="AM510" i="6"/>
  <c r="AM518" i="6"/>
  <c r="AM526" i="6"/>
  <c r="AM534" i="6"/>
  <c r="AM542" i="6"/>
  <c r="AM550" i="6"/>
  <c r="AM558" i="6"/>
  <c r="AM566" i="6"/>
  <c r="AM574" i="6"/>
  <c r="AM582" i="6"/>
  <c r="AM590" i="6"/>
  <c r="AM598" i="6"/>
  <c r="AM607" i="6"/>
  <c r="AM615" i="6"/>
  <c r="AM18" i="6"/>
  <c r="AM26" i="6"/>
  <c r="AM34" i="6"/>
  <c r="AM42" i="6"/>
  <c r="AM50" i="6"/>
  <c r="AM59" i="6"/>
  <c r="AM67" i="6"/>
  <c r="AM75" i="6"/>
  <c r="AM83" i="6"/>
  <c r="AM91" i="6"/>
  <c r="AM99" i="6"/>
  <c r="AM107" i="6"/>
  <c r="AM115" i="6"/>
  <c r="AM123" i="6"/>
  <c r="AM131" i="6"/>
  <c r="AM139" i="6"/>
  <c r="AM149" i="6"/>
  <c r="AM157" i="6"/>
  <c r="AM165" i="6"/>
  <c r="AM173" i="6"/>
  <c r="AM181" i="6"/>
  <c r="AM189" i="6"/>
  <c r="AM197" i="6"/>
  <c r="AM205" i="6"/>
  <c r="AM213" i="6"/>
  <c r="AM221" i="6"/>
  <c r="AM230" i="6"/>
  <c r="AM238" i="6"/>
  <c r="AM248" i="6"/>
  <c r="AM256" i="6"/>
  <c r="AM264" i="6"/>
  <c r="AM272" i="6"/>
  <c r="AM280" i="6"/>
  <c r="AM288" i="6"/>
  <c r="AM296" i="6"/>
  <c r="AM304" i="6"/>
  <c r="AM312" i="6"/>
  <c r="AM320" i="6"/>
  <c r="AM328" i="6"/>
  <c r="AM337" i="6"/>
  <c r="AM345" i="6"/>
  <c r="AM354" i="6"/>
  <c r="AM363" i="6"/>
  <c r="AM371" i="6"/>
  <c r="AM379" i="6"/>
  <c r="AM387" i="6"/>
  <c r="AM395" i="6"/>
  <c r="AM404" i="6"/>
  <c r="AM412" i="6"/>
  <c r="AM420" i="6"/>
  <c r="AM428" i="6"/>
  <c r="AM436" i="6"/>
  <c r="AM444" i="6"/>
  <c r="AM452" i="6"/>
  <c r="AM460" i="6"/>
  <c r="AM468" i="6"/>
  <c r="AM478" i="6"/>
  <c r="AM486" i="6"/>
  <c r="AM495" i="6"/>
  <c r="AM503" i="6"/>
  <c r="AM511" i="6"/>
  <c r="AM519" i="6"/>
  <c r="AM527" i="6"/>
  <c r="AM535" i="6"/>
  <c r="AM543" i="6"/>
  <c r="AM551" i="6"/>
  <c r="AM559" i="6"/>
  <c r="AM567" i="6"/>
  <c r="AM575" i="6"/>
  <c r="AM583" i="6"/>
  <c r="AM591" i="6"/>
  <c r="AM599" i="6"/>
  <c r="AM608" i="6"/>
  <c r="AM616" i="6"/>
  <c r="AM19" i="6"/>
  <c r="AM27" i="6"/>
  <c r="AM35" i="6"/>
  <c r="AM43" i="6"/>
  <c r="AM51" i="6"/>
  <c r="AM60" i="6"/>
  <c r="AM68" i="6"/>
  <c r="AM76" i="6"/>
  <c r="AM84" i="6"/>
  <c r="AM92" i="6"/>
  <c r="AM100" i="6"/>
  <c r="AM108" i="6"/>
  <c r="AM116" i="6"/>
  <c r="AM124" i="6"/>
  <c r="AM132" i="6"/>
  <c r="AM140" i="6"/>
  <c r="AM150" i="6"/>
  <c r="AM158" i="6"/>
  <c r="AM166" i="6"/>
  <c r="AM174" i="6"/>
  <c r="AM182" i="6"/>
  <c r="AM190" i="6"/>
  <c r="AM198" i="6"/>
  <c r="AM206" i="6"/>
  <c r="AM214" i="6"/>
  <c r="AM222" i="6"/>
  <c r="AM231" i="6"/>
  <c r="AM239" i="6"/>
  <c r="AM249" i="6"/>
  <c r="AM257" i="6"/>
  <c r="AM265" i="6"/>
  <c r="AM273" i="6"/>
  <c r="AM281" i="6"/>
  <c r="AM289" i="6"/>
  <c r="AM297" i="6"/>
  <c r="AM305" i="6"/>
  <c r="AM313" i="6"/>
  <c r="AM321" i="6"/>
  <c r="AM330" i="6"/>
  <c r="AM338" i="6"/>
  <c r="AM346" i="6"/>
  <c r="AM355" i="6"/>
  <c r="AM364" i="6"/>
  <c r="AM372" i="6"/>
  <c r="AM380" i="6"/>
  <c r="AM388" i="6"/>
  <c r="AM396" i="6"/>
  <c r="AM405" i="6"/>
  <c r="AM413" i="6"/>
  <c r="AM421" i="6"/>
  <c r="AM429" i="6"/>
  <c r="AM437" i="6"/>
  <c r="AM445" i="6"/>
  <c r="AM453" i="6"/>
  <c r="AM461" i="6"/>
  <c r="AM469" i="6"/>
  <c r="AM479" i="6"/>
  <c r="AM487" i="6"/>
  <c r="AM496" i="6"/>
  <c r="AM504" i="6"/>
  <c r="AM512" i="6"/>
  <c r="AM520" i="6"/>
  <c r="AM528" i="6"/>
  <c r="AM536" i="6"/>
  <c r="AM544" i="6"/>
  <c r="AM552" i="6"/>
  <c r="AM560" i="6"/>
  <c r="AM568" i="6"/>
  <c r="AM576" i="6"/>
  <c r="AM584" i="6"/>
  <c r="AM592" i="6"/>
  <c r="AM601" i="6"/>
  <c r="AM609" i="6"/>
  <c r="AM617" i="6"/>
  <c r="AM23" i="6"/>
  <c r="AM47" i="6"/>
  <c r="AM64" i="6"/>
  <c r="AM80" i="6"/>
  <c r="AM88" i="6"/>
  <c r="AM104" i="6"/>
  <c r="AM120" i="6"/>
  <c r="AM136" i="6"/>
  <c r="AM20" i="6"/>
  <c r="AM28" i="6"/>
  <c r="AM36" i="6"/>
  <c r="AM44" i="6"/>
  <c r="AM52" i="6"/>
  <c r="AM61" i="6"/>
  <c r="AM69" i="6"/>
  <c r="AM77" i="6"/>
  <c r="AM85" i="6"/>
  <c r="AM93" i="6"/>
  <c r="AM101" i="6"/>
  <c r="AM109" i="6"/>
  <c r="AM117" i="6"/>
  <c r="AM125" i="6"/>
  <c r="AM133" i="6"/>
  <c r="AM141" i="6"/>
  <c r="AM151" i="6"/>
  <c r="AM159" i="6"/>
  <c r="AM167" i="6"/>
  <c r="AM175" i="6"/>
  <c r="AM183" i="6"/>
  <c r="AM191" i="6"/>
  <c r="AM199" i="6"/>
  <c r="AM207" i="6"/>
  <c r="AM215" i="6"/>
  <c r="AM223" i="6"/>
  <c r="AM232" i="6"/>
  <c r="AM242" i="6"/>
  <c r="AM250" i="6"/>
  <c r="AM258" i="6"/>
  <c r="AM266" i="6"/>
  <c r="AM274" i="6"/>
  <c r="AM282" i="6"/>
  <c r="AM290" i="6"/>
  <c r="AM298" i="6"/>
  <c r="AM306" i="6"/>
  <c r="AM314" i="6"/>
  <c r="AM322" i="6"/>
  <c r="AM331" i="6"/>
  <c r="AM339" i="6"/>
  <c r="AM347" i="6"/>
  <c r="AM356" i="6"/>
  <c r="AM365" i="6"/>
  <c r="AM373" i="6"/>
  <c r="AM381" i="6"/>
  <c r="AM389" i="6"/>
  <c r="AM397" i="6"/>
  <c r="AM406" i="6"/>
  <c r="AM414" i="6"/>
  <c r="AM422" i="6"/>
  <c r="AM430" i="6"/>
  <c r="AM438" i="6"/>
  <c r="AM446" i="6"/>
  <c r="AM454" i="6"/>
  <c r="AM462" i="6"/>
  <c r="AM470" i="6"/>
  <c r="AM480" i="6"/>
  <c r="AM489" i="6"/>
  <c r="AM497" i="6"/>
  <c r="AM505" i="6"/>
  <c r="AM513" i="6"/>
  <c r="AM521" i="6"/>
  <c r="AM529" i="6"/>
  <c r="AM537" i="6"/>
  <c r="AM545" i="6"/>
  <c r="AM553" i="6"/>
  <c r="AM561" i="6"/>
  <c r="AM569" i="6"/>
  <c r="AM577" i="6"/>
  <c r="AM585" i="6"/>
  <c r="AM593" i="6"/>
  <c r="AM602" i="6"/>
  <c r="AM610" i="6"/>
  <c r="AM618" i="6"/>
  <c r="AM21" i="6"/>
  <c r="AM29" i="6"/>
  <c r="AM37" i="6"/>
  <c r="AM45" i="6"/>
  <c r="AM53" i="6"/>
  <c r="AM62" i="6"/>
  <c r="AM70" i="6"/>
  <c r="AM78" i="6"/>
  <c r="AM86" i="6"/>
  <c r="AM94" i="6"/>
  <c r="AM102" i="6"/>
  <c r="AM110" i="6"/>
  <c r="AM118" i="6"/>
  <c r="AM126" i="6"/>
  <c r="AM134" i="6"/>
  <c r="AM144" i="6"/>
  <c r="AM152" i="6"/>
  <c r="AM160" i="6"/>
  <c r="AM168" i="6"/>
  <c r="AM176" i="6"/>
  <c r="AM184" i="6"/>
  <c r="AM192" i="6"/>
  <c r="AM200" i="6"/>
  <c r="AM208" i="6"/>
  <c r="AM216" i="6"/>
  <c r="AM225" i="6"/>
  <c r="AM233" i="6"/>
  <c r="AM243" i="6"/>
  <c r="AM251" i="6"/>
  <c r="AM259" i="6"/>
  <c r="AM267" i="6"/>
  <c r="AM275" i="6"/>
  <c r="AM283" i="6"/>
  <c r="AM291" i="6"/>
  <c r="AM299" i="6"/>
  <c r="AM307" i="6"/>
  <c r="AM315" i="6"/>
  <c r="AM323" i="6"/>
  <c r="AM332" i="6"/>
  <c r="AM340" i="6"/>
  <c r="AM348" i="6"/>
  <c r="AM357" i="6"/>
  <c r="AM366" i="6"/>
  <c r="AM374" i="6"/>
  <c r="AM382" i="6"/>
  <c r="AM390" i="6"/>
  <c r="AM398" i="6"/>
  <c r="AM407" i="6"/>
  <c r="AM415" i="6"/>
  <c r="AM423" i="6"/>
  <c r="AM431" i="6"/>
  <c r="AM439" i="6"/>
  <c r="AM447" i="6"/>
  <c r="AM455" i="6"/>
  <c r="AM463" i="6"/>
  <c r="AM471" i="6"/>
  <c r="AM481" i="6"/>
  <c r="AM490" i="6"/>
  <c r="AM498" i="6"/>
  <c r="AM506" i="6"/>
  <c r="AM514" i="6"/>
  <c r="AM522" i="6"/>
  <c r="AM530" i="6"/>
  <c r="AM538" i="6"/>
  <c r="AM546" i="6"/>
  <c r="AM554" i="6"/>
  <c r="AM562" i="6"/>
  <c r="AM570" i="6"/>
  <c r="AM578" i="6"/>
  <c r="AM586" i="6"/>
  <c r="AM594" i="6"/>
  <c r="AM603" i="6"/>
  <c r="AM611" i="6"/>
  <c r="AM619" i="6"/>
  <c r="AM22" i="6"/>
  <c r="AM30" i="6"/>
  <c r="AM38" i="6"/>
  <c r="AM46" i="6"/>
  <c r="AM54" i="6"/>
  <c r="AM63" i="6"/>
  <c r="AM71" i="6"/>
  <c r="AM79" i="6"/>
  <c r="AM87" i="6"/>
  <c r="AM95" i="6"/>
  <c r="AM103" i="6"/>
  <c r="AM111" i="6"/>
  <c r="AM119" i="6"/>
  <c r="AM127" i="6"/>
  <c r="AM135" i="6"/>
  <c r="AM145" i="6"/>
  <c r="AM153" i="6"/>
  <c r="AM161" i="6"/>
  <c r="AM169" i="6"/>
  <c r="AM177" i="6"/>
  <c r="AM185" i="6"/>
  <c r="AM193" i="6"/>
  <c r="AM201" i="6"/>
  <c r="AM209" i="6"/>
  <c r="AM217" i="6"/>
  <c r="AM226" i="6"/>
  <c r="AM234" i="6"/>
  <c r="AM244" i="6"/>
  <c r="AM252" i="6"/>
  <c r="AM260" i="6"/>
  <c r="AM268" i="6"/>
  <c r="AM276" i="6"/>
  <c r="AM284" i="6"/>
  <c r="AM292" i="6"/>
  <c r="AM300" i="6"/>
  <c r="AM308" i="6"/>
  <c r="AM316" i="6"/>
  <c r="AM324" i="6"/>
  <c r="AM333" i="6"/>
  <c r="AM341" i="6"/>
  <c r="AM350" i="6"/>
  <c r="AM358" i="6"/>
  <c r="AM367" i="6"/>
  <c r="AM375" i="6"/>
  <c r="AM383" i="6"/>
  <c r="AM391" i="6"/>
  <c r="AM399" i="6"/>
  <c r="AM408" i="6"/>
  <c r="AM416" i="6"/>
  <c r="AM424" i="6"/>
  <c r="AM432" i="6"/>
  <c r="AM440" i="6"/>
  <c r="AM448" i="6"/>
  <c r="AM456" i="6"/>
  <c r="AM464" i="6"/>
  <c r="AM472" i="6"/>
  <c r="AM482" i="6"/>
  <c r="AM491" i="6"/>
  <c r="AM499" i="6"/>
  <c r="AM507" i="6"/>
  <c r="AM515" i="6"/>
  <c r="AM523" i="6"/>
  <c r="AM531" i="6"/>
  <c r="AM539" i="6"/>
  <c r="AM547" i="6"/>
  <c r="AM555" i="6"/>
  <c r="AM563" i="6"/>
  <c r="AM571" i="6"/>
  <c r="AM579" i="6"/>
  <c r="AM587" i="6"/>
  <c r="AM595" i="6"/>
  <c r="AM604" i="6"/>
  <c r="AM612" i="6"/>
  <c r="AM620" i="6"/>
  <c r="AM31" i="6"/>
  <c r="AM39" i="6"/>
  <c r="AM56" i="6"/>
  <c r="AM72" i="6"/>
  <c r="AM96" i="6"/>
  <c r="AM112" i="6"/>
  <c r="AM128" i="6"/>
  <c r="AM146" i="6"/>
  <c r="AM48" i="6"/>
  <c r="AM113" i="6"/>
  <c r="AM163" i="6"/>
  <c r="AM195" i="6"/>
  <c r="AM228" i="6"/>
  <c r="AM262" i="6"/>
  <c r="AM294" i="6"/>
  <c r="AM326" i="6"/>
  <c r="AM361" i="6"/>
  <c r="AM393" i="6"/>
  <c r="AM426" i="6"/>
  <c r="AM458" i="6"/>
  <c r="AM493" i="6"/>
  <c r="AM525" i="6"/>
  <c r="AM557" i="6"/>
  <c r="AM589" i="6"/>
  <c r="AM121" i="6"/>
  <c r="AM235" i="6"/>
  <c r="AM301" i="6"/>
  <c r="AM368" i="6"/>
  <c r="AM433" i="6"/>
  <c r="AM465" i="6"/>
  <c r="AM532" i="6"/>
  <c r="AM596" i="6"/>
  <c r="AM210" i="6"/>
  <c r="AM376" i="6"/>
  <c r="AM473" i="6"/>
  <c r="AM572" i="6"/>
  <c r="AM606" i="6"/>
  <c r="AM57" i="6"/>
  <c r="AM170" i="6"/>
  <c r="AM202" i="6"/>
  <c r="AM269" i="6"/>
  <c r="AM334" i="6"/>
  <c r="AM401" i="6"/>
  <c r="AM500" i="6"/>
  <c r="AM564" i="6"/>
  <c r="AM178" i="6"/>
  <c r="AM309" i="6"/>
  <c r="AM441" i="6"/>
  <c r="AM508" i="6"/>
  <c r="AM194" i="6"/>
  <c r="AM392" i="6"/>
  <c r="AM588" i="6"/>
  <c r="AM65" i="6"/>
  <c r="AM129" i="6"/>
  <c r="AM171" i="6"/>
  <c r="AM203" i="6"/>
  <c r="AM236" i="6"/>
  <c r="AM270" i="6"/>
  <c r="AM302" i="6"/>
  <c r="AM335" i="6"/>
  <c r="AM369" i="6"/>
  <c r="AM402" i="6"/>
  <c r="AM434" i="6"/>
  <c r="AM466" i="6"/>
  <c r="AM501" i="6"/>
  <c r="AM533" i="6"/>
  <c r="AM565" i="6"/>
  <c r="AM597" i="6"/>
  <c r="AM342" i="6"/>
  <c r="AM540" i="6"/>
  <c r="AM81" i="6"/>
  <c r="AM147" i="6"/>
  <c r="AM179" i="6"/>
  <c r="AM211" i="6"/>
  <c r="AM246" i="6"/>
  <c r="AM278" i="6"/>
  <c r="AM310" i="6"/>
  <c r="AM377" i="6"/>
  <c r="AM410" i="6"/>
  <c r="AM442" i="6"/>
  <c r="AM474" i="6"/>
  <c r="AM509" i="6"/>
  <c r="AM573" i="6"/>
  <c r="AM261" i="6"/>
  <c r="AM457" i="6"/>
  <c r="AM73" i="6"/>
  <c r="AM137" i="6"/>
  <c r="AM245" i="6"/>
  <c r="AM277" i="6"/>
  <c r="AM409" i="6"/>
  <c r="AM605" i="6"/>
  <c r="AM40" i="6"/>
  <c r="AM360" i="6"/>
  <c r="AM556" i="6"/>
  <c r="AM343" i="6"/>
  <c r="AM541" i="6"/>
  <c r="AM227" i="6"/>
  <c r="AM425" i="6"/>
  <c r="AM621" i="6"/>
  <c r="AM24" i="6"/>
  <c r="AM89" i="6"/>
  <c r="AM154" i="6"/>
  <c r="AM186" i="6"/>
  <c r="AM218" i="6"/>
  <c r="AM253" i="6"/>
  <c r="AM285" i="6"/>
  <c r="AM317" i="6"/>
  <c r="AM351" i="6"/>
  <c r="AM384" i="6"/>
  <c r="AM417" i="6"/>
  <c r="AM449" i="6"/>
  <c r="AM483" i="6"/>
  <c r="AM516" i="6"/>
  <c r="AM548" i="6"/>
  <c r="AM580" i="6"/>
  <c r="AM613" i="6"/>
  <c r="AM32" i="6"/>
  <c r="AM155" i="6"/>
  <c r="AM219" i="6"/>
  <c r="AM286" i="6"/>
  <c r="AM352" i="6"/>
  <c r="AM418" i="6"/>
  <c r="AM484" i="6"/>
  <c r="AM549" i="6"/>
  <c r="AM614" i="6"/>
  <c r="AM162" i="6"/>
  <c r="AM325" i="6"/>
  <c r="AM524" i="6"/>
  <c r="AM97" i="6"/>
  <c r="AM187" i="6"/>
  <c r="AM254" i="6"/>
  <c r="AM318" i="6"/>
  <c r="AM385" i="6"/>
  <c r="AM450" i="6"/>
  <c r="AM517" i="6"/>
  <c r="AM581" i="6"/>
  <c r="AM105" i="6"/>
  <c r="AM293" i="6"/>
  <c r="AM492" i="6"/>
  <c r="N16" i="24"/>
  <c r="N24" i="24"/>
  <c r="M31" i="3"/>
  <c r="AM16" i="6"/>
  <c r="N17" i="24"/>
  <c r="N25" i="24"/>
  <c r="M20" i="3"/>
  <c r="N26" i="24"/>
  <c r="N22" i="24"/>
  <c r="N18" i="24"/>
  <c r="N23" i="24"/>
  <c r="M42" i="3"/>
  <c r="N19" i="24"/>
  <c r="N27" i="24"/>
  <c r="N20" i="24"/>
  <c r="N28" i="24"/>
  <c r="N21" i="24"/>
  <c r="N29" i="24"/>
  <c r="E19" i="9"/>
  <c r="D19" i="9"/>
  <c r="E51" i="13"/>
  <c r="E67" i="13"/>
  <c r="E64" i="13"/>
  <c r="E47" i="13"/>
  <c r="E48" i="13"/>
  <c r="E50" i="13"/>
  <c r="E65" i="13"/>
  <c r="E74" i="13"/>
  <c r="E63" i="13"/>
  <c r="E46" i="13"/>
  <c r="E49" i="13"/>
  <c r="E55" i="13"/>
  <c r="E57" i="13"/>
  <c r="E61" i="13"/>
  <c r="E71" i="13"/>
  <c r="E53" i="13"/>
  <c r="E72" i="13"/>
  <c r="E59" i="13"/>
  <c r="E66" i="13"/>
  <c r="E70" i="13"/>
  <c r="E54" i="13"/>
  <c r="E75" i="13"/>
  <c r="E52" i="13"/>
  <c r="E69" i="13"/>
  <c r="E56" i="13"/>
  <c r="E73" i="13"/>
  <c r="E58" i="13"/>
  <c r="E62" i="13"/>
  <c r="E60" i="13"/>
  <c r="E68" i="13"/>
  <c r="B8" i="6" l="1"/>
  <c r="D564" i="6" s="1"/>
  <c r="I35" i="22" l="1"/>
  <c r="I34" i="22"/>
  <c r="I33" i="22"/>
  <c r="I32" i="22"/>
  <c r="I31" i="22"/>
  <c r="I30" i="22"/>
  <c r="G29" i="22" l="1"/>
  <c r="D300" i="22" l="1"/>
  <c r="D303" i="22"/>
  <c r="D299" i="22"/>
  <c r="D302" i="22"/>
  <c r="D78" i="22"/>
  <c r="D76" i="22"/>
  <c r="D75" i="22"/>
  <c r="D79" i="22"/>
  <c r="D207" i="22"/>
  <c r="D203" i="22"/>
  <c r="D200" i="22"/>
  <c r="D199" i="22"/>
  <c r="D206" i="22"/>
  <c r="D204" i="22"/>
  <c r="D234" i="22"/>
  <c r="D233" i="22"/>
  <c r="D108" i="22"/>
  <c r="D107" i="22"/>
  <c r="D103" i="22"/>
  <c r="D104" i="22"/>
  <c r="D101" i="22"/>
  <c r="D100" i="22"/>
  <c r="D297" i="22"/>
  <c r="D296" i="22"/>
  <c r="D384" i="22"/>
  <c r="D383" i="22"/>
  <c r="D373" i="22"/>
  <c r="D376" i="22"/>
  <c r="D371" i="22"/>
  <c r="D375" i="22"/>
  <c r="D374" i="22"/>
  <c r="D367" i="22"/>
  <c r="D370" i="22"/>
  <c r="D368" i="22"/>
  <c r="D341" i="22"/>
  <c r="D340" i="22"/>
  <c r="D336" i="22"/>
  <c r="D333" i="22"/>
  <c r="D332" i="22"/>
  <c r="D339" i="22"/>
  <c r="D338" i="22"/>
  <c r="D335" i="22"/>
  <c r="D68" i="22"/>
  <c r="D72" i="22"/>
  <c r="D69" i="22"/>
  <c r="D66" i="22"/>
  <c r="D65" i="22"/>
  <c r="D71" i="22"/>
  <c r="D441" i="22"/>
  <c r="D445" i="22"/>
  <c r="D264" i="22"/>
  <c r="D173" i="22"/>
  <c r="D439" i="22"/>
  <c r="D442" i="22"/>
  <c r="D171" i="22"/>
  <c r="D268" i="22"/>
  <c r="D438" i="22"/>
  <c r="D412" i="22"/>
  <c r="D170" i="22"/>
  <c r="D444" i="22"/>
  <c r="D411" i="22"/>
  <c r="D167" i="22"/>
  <c r="D133" i="22"/>
  <c r="D166" i="22"/>
  <c r="D136" i="22"/>
  <c r="D409" i="22"/>
  <c r="D132" i="22"/>
  <c r="D408" i="22"/>
  <c r="D269" i="22"/>
  <c r="D137" i="22"/>
  <c r="D174" i="22"/>
  <c r="D406" i="22"/>
  <c r="D405" i="22"/>
  <c r="D265" i="22"/>
  <c r="E24" i="13" l="1"/>
  <c r="N68" i="13" l="1"/>
  <c r="O68" i="13"/>
  <c r="E31" i="13" l="1"/>
  <c r="E28" i="13"/>
  <c r="D9" i="22" l="1"/>
  <c r="D8" i="22"/>
  <c r="E437" i="22" l="1"/>
  <c r="E445" i="22"/>
  <c r="E408" i="22"/>
  <c r="E365" i="22"/>
  <c r="E373" i="22"/>
  <c r="F373" i="22" s="1"/>
  <c r="E381" i="22"/>
  <c r="F381" i="22" s="1"/>
  <c r="E336" i="22"/>
  <c r="F336" i="22" s="1"/>
  <c r="E344" i="22"/>
  <c r="F344" i="22" s="1"/>
  <c r="E297" i="22"/>
  <c r="E268" i="22"/>
  <c r="E231" i="22"/>
  <c r="F231" i="22" s="1"/>
  <c r="E202" i="22"/>
  <c r="E165" i="22"/>
  <c r="E173" i="22"/>
  <c r="F173" i="22" s="1"/>
  <c r="E136" i="22"/>
  <c r="F136" i="22" s="1"/>
  <c r="E99" i="22"/>
  <c r="F99" i="22" s="1"/>
  <c r="E107" i="22"/>
  <c r="E68" i="22"/>
  <c r="E76" i="22"/>
  <c r="E71" i="22"/>
  <c r="E72" i="22"/>
  <c r="E442" i="22"/>
  <c r="F442" i="22" s="1"/>
  <c r="E333" i="22"/>
  <c r="F333" i="22" s="1"/>
  <c r="E265" i="22"/>
  <c r="F265" i="22" s="1"/>
  <c r="E104" i="22"/>
  <c r="E406" i="22"/>
  <c r="E66" i="22"/>
  <c r="F66" i="22" s="1"/>
  <c r="E403" i="22"/>
  <c r="E263" i="22"/>
  <c r="E67" i="22"/>
  <c r="F67" i="22" s="1"/>
  <c r="E438" i="22"/>
  <c r="F438" i="22" s="1"/>
  <c r="E446" i="22"/>
  <c r="F446" i="22" s="1"/>
  <c r="E409" i="22"/>
  <c r="E366" i="22"/>
  <c r="E374" i="22"/>
  <c r="F374" i="22" s="1"/>
  <c r="E382" i="22"/>
  <c r="E364" i="22"/>
  <c r="E337" i="22"/>
  <c r="F337" i="22" s="1"/>
  <c r="E345" i="22"/>
  <c r="F345" i="22" s="1"/>
  <c r="E298" i="22"/>
  <c r="F298" i="22" s="1"/>
  <c r="E269" i="22"/>
  <c r="E232" i="22"/>
  <c r="E203" i="22"/>
  <c r="F203" i="22" s="1"/>
  <c r="E166" i="22"/>
  <c r="E174" i="22"/>
  <c r="F174" i="22" s="1"/>
  <c r="E137" i="22"/>
  <c r="F137" i="22" s="1"/>
  <c r="E100" i="22"/>
  <c r="F100" i="22" s="1"/>
  <c r="E108" i="22"/>
  <c r="F108" i="22" s="1"/>
  <c r="E69" i="22"/>
  <c r="F69" i="22" s="1"/>
  <c r="E77" i="22"/>
  <c r="E63" i="22"/>
  <c r="E79" i="22"/>
  <c r="E103" i="22"/>
  <c r="F103" i="22" s="1"/>
  <c r="E413" i="22"/>
  <c r="E341" i="22"/>
  <c r="F341" i="22" s="1"/>
  <c r="E236" i="22"/>
  <c r="F236" i="22" s="1"/>
  <c r="E65" i="22"/>
  <c r="E30" i="22"/>
  <c r="E379" i="22"/>
  <c r="F379" i="22" s="1"/>
  <c r="E200" i="22"/>
  <c r="F200" i="22" s="1"/>
  <c r="E335" i="22"/>
  <c r="E106" i="22"/>
  <c r="F106" i="22" s="1"/>
  <c r="E439" i="22"/>
  <c r="F439" i="22" s="1"/>
  <c r="E447" i="22"/>
  <c r="F447" i="22" s="1"/>
  <c r="E410" i="22"/>
  <c r="E367" i="22"/>
  <c r="E375" i="22"/>
  <c r="F375" i="22" s="1"/>
  <c r="E383" i="22"/>
  <c r="E330" i="22"/>
  <c r="E338" i="22"/>
  <c r="F338" i="22" s="1"/>
  <c r="E299" i="22"/>
  <c r="F299" i="22" s="1"/>
  <c r="E270" i="22"/>
  <c r="F270" i="22" s="1"/>
  <c r="E233" i="22"/>
  <c r="E204" i="22"/>
  <c r="E167" i="22"/>
  <c r="E175" i="22"/>
  <c r="E138" i="22"/>
  <c r="F138" i="22" s="1"/>
  <c r="E101" i="22"/>
  <c r="F101" i="22" s="1"/>
  <c r="E109" i="22"/>
  <c r="F109" i="22" s="1"/>
  <c r="E70" i="22"/>
  <c r="F70" i="22" s="1"/>
  <c r="E78" i="22"/>
  <c r="E31" i="22"/>
  <c r="F31" i="22" s="1"/>
  <c r="E110" i="22"/>
  <c r="F110" i="22" s="1"/>
  <c r="E32" i="22"/>
  <c r="F32" i="22" s="1"/>
  <c r="E33" i="22"/>
  <c r="F33" i="22" s="1"/>
  <c r="E133" i="22"/>
  <c r="F133" i="22" s="1"/>
  <c r="E443" i="22"/>
  <c r="F443" i="22" s="1"/>
  <c r="E334" i="22"/>
  <c r="F334" i="22" s="1"/>
  <c r="E407" i="22"/>
  <c r="E267" i="22"/>
  <c r="F267" i="22" s="1"/>
  <c r="E131" i="22"/>
  <c r="E440" i="22"/>
  <c r="E448" i="22"/>
  <c r="E436" i="22"/>
  <c r="E411" i="22"/>
  <c r="F411" i="22" s="1"/>
  <c r="E368" i="22"/>
  <c r="F368" i="22" s="1"/>
  <c r="E376" i="22"/>
  <c r="E384" i="22"/>
  <c r="E331" i="22"/>
  <c r="F331" i="22" s="1"/>
  <c r="E339" i="22"/>
  <c r="E300" i="22"/>
  <c r="E296" i="22"/>
  <c r="E271" i="22"/>
  <c r="F271" i="22" s="1"/>
  <c r="E234" i="22"/>
  <c r="F234" i="22" s="1"/>
  <c r="E230" i="22"/>
  <c r="E205" i="22"/>
  <c r="E168" i="22"/>
  <c r="F168" i="22" s="1"/>
  <c r="E176" i="22"/>
  <c r="E164" i="22"/>
  <c r="E139" i="22"/>
  <c r="F139" i="22" s="1"/>
  <c r="E102" i="22"/>
  <c r="F102" i="22" s="1"/>
  <c r="E98" i="22"/>
  <c r="E80" i="22"/>
  <c r="F80" i="22" s="1"/>
  <c r="E405" i="22"/>
  <c r="F405" i="22" s="1"/>
  <c r="E378" i="22"/>
  <c r="F378" i="22" s="1"/>
  <c r="E170" i="22"/>
  <c r="E34" i="22"/>
  <c r="F34" i="22" s="1"/>
  <c r="E105" i="22"/>
  <c r="F105" i="22" s="1"/>
  <c r="E372" i="22"/>
  <c r="F372" i="22" s="1"/>
  <c r="E172" i="22"/>
  <c r="F172" i="22" s="1"/>
  <c r="E75" i="22"/>
  <c r="F75" i="22" s="1"/>
  <c r="E441" i="22"/>
  <c r="F441" i="22" s="1"/>
  <c r="E449" i="22"/>
  <c r="F449" i="22" s="1"/>
  <c r="E404" i="22"/>
  <c r="E412" i="22"/>
  <c r="F412" i="22" s="1"/>
  <c r="E369" i="22"/>
  <c r="F369" i="22" s="1"/>
  <c r="E377" i="22"/>
  <c r="F377" i="22" s="1"/>
  <c r="E332" i="22"/>
  <c r="F332" i="22" s="1"/>
  <c r="E340" i="22"/>
  <c r="E301" i="22"/>
  <c r="E264" i="22"/>
  <c r="F264" i="22" s="1"/>
  <c r="E235" i="22"/>
  <c r="E198" i="22"/>
  <c r="F198" i="22" s="1"/>
  <c r="E206" i="22"/>
  <c r="F206" i="22" s="1"/>
  <c r="E169" i="22"/>
  <c r="F169" i="22" s="1"/>
  <c r="E132" i="22"/>
  <c r="F132" i="22" s="1"/>
  <c r="E140" i="22"/>
  <c r="E64" i="22"/>
  <c r="F64" i="22" s="1"/>
  <c r="E370" i="22"/>
  <c r="F370" i="22" s="1"/>
  <c r="E302" i="22"/>
  <c r="E199" i="22"/>
  <c r="F199" i="22" s="1"/>
  <c r="E73" i="22"/>
  <c r="F73" i="22" s="1"/>
  <c r="E414" i="22"/>
  <c r="F414" i="22" s="1"/>
  <c r="E303" i="22"/>
  <c r="F303" i="22" s="1"/>
  <c r="E171" i="22"/>
  <c r="F171" i="22" s="1"/>
  <c r="E343" i="22"/>
  <c r="F343" i="22" s="1"/>
  <c r="E207" i="22"/>
  <c r="F207" i="22" s="1"/>
  <c r="E371" i="22"/>
  <c r="E266" i="22"/>
  <c r="F266" i="22" s="1"/>
  <c r="E134" i="22"/>
  <c r="F134" i="22" s="1"/>
  <c r="E380" i="22"/>
  <c r="F380" i="22" s="1"/>
  <c r="E201" i="22"/>
  <c r="F201" i="22" s="1"/>
  <c r="E342" i="22"/>
  <c r="F342" i="22" s="1"/>
  <c r="E74" i="22"/>
  <c r="F74" i="22" s="1"/>
  <c r="E135" i="22"/>
  <c r="E444" i="22"/>
  <c r="F444" i="22" s="1"/>
  <c r="E329" i="22"/>
  <c r="E197" i="22"/>
  <c r="F205" i="22"/>
  <c r="F204" i="22"/>
  <c r="F202" i="22"/>
  <c r="F209" i="22"/>
  <c r="F208" i="22"/>
  <c r="F212" i="22"/>
  <c r="F216" i="22"/>
  <c r="F210" i="22"/>
  <c r="F214" i="22"/>
  <c r="F211" i="22"/>
  <c r="F215" i="22"/>
  <c r="F213" i="22"/>
  <c r="F243" i="22"/>
  <c r="F249" i="22"/>
  <c r="F239" i="22"/>
  <c r="F246" i="22"/>
  <c r="F241" i="22"/>
  <c r="F247" i="22"/>
  <c r="F240" i="22"/>
  <c r="F248" i="22"/>
  <c r="F245" i="22"/>
  <c r="F242" i="22"/>
  <c r="F244" i="22"/>
  <c r="F84" i="22"/>
  <c r="F347" i="22"/>
  <c r="F350" i="22"/>
  <c r="F43" i="22"/>
  <c r="F41" i="22"/>
  <c r="F348" i="22"/>
  <c r="F37" i="22"/>
  <c r="F115" i="22"/>
  <c r="F113" i="22"/>
  <c r="F46" i="22"/>
  <c r="F386" i="22"/>
  <c r="F116" i="22"/>
  <c r="F39" i="22"/>
  <c r="F117" i="22"/>
  <c r="F388" i="22"/>
  <c r="F81" i="22"/>
  <c r="F40" i="22"/>
  <c r="F389" i="22"/>
  <c r="F45" i="22"/>
  <c r="F112" i="22"/>
  <c r="F36" i="22"/>
  <c r="F114" i="22"/>
  <c r="F49" i="22"/>
  <c r="F387" i="22"/>
  <c r="F44" i="22"/>
  <c r="F349" i="22"/>
  <c r="F42" i="22"/>
  <c r="F47" i="22"/>
  <c r="F82" i="22"/>
  <c r="F48" i="22"/>
  <c r="F38" i="22"/>
  <c r="F83" i="22"/>
  <c r="F235" i="22"/>
  <c r="F232" i="22"/>
  <c r="F237" i="22"/>
  <c r="F233" i="22"/>
  <c r="F238" i="22"/>
  <c r="F104" i="22"/>
  <c r="F111" i="22"/>
  <c r="F107" i="22"/>
  <c r="F310" i="22"/>
  <c r="F308" i="22"/>
  <c r="F312" i="22"/>
  <c r="F306" i="22"/>
  <c r="F314" i="22"/>
  <c r="F309" i="22"/>
  <c r="F313" i="22"/>
  <c r="F385" i="22"/>
  <c r="F307" i="22"/>
  <c r="F311" i="22"/>
  <c r="F315" i="22"/>
  <c r="F305" i="22"/>
  <c r="F304" i="22"/>
  <c r="F302" i="22"/>
  <c r="F384" i="22"/>
  <c r="F300" i="22"/>
  <c r="F383" i="22"/>
  <c r="F301" i="22"/>
  <c r="F297" i="22"/>
  <c r="F382" i="22"/>
  <c r="F376" i="22"/>
  <c r="F371" i="22"/>
  <c r="F366" i="22"/>
  <c r="F365" i="22"/>
  <c r="F367" i="22"/>
  <c r="F339" i="22"/>
  <c r="F330" i="22"/>
  <c r="F335" i="22"/>
  <c r="F340" i="22"/>
  <c r="F346" i="22"/>
  <c r="F79" i="22"/>
  <c r="F77" i="22"/>
  <c r="F78" i="22"/>
  <c r="F279" i="22"/>
  <c r="F451" i="22"/>
  <c r="F419" i="22"/>
  <c r="F452" i="22"/>
  <c r="F180" i="22"/>
  <c r="F421" i="22"/>
  <c r="F179" i="22"/>
  <c r="F177" i="22"/>
  <c r="F178" i="22"/>
  <c r="F183" i="22"/>
  <c r="F450" i="22"/>
  <c r="F274" i="22"/>
  <c r="F272" i="22"/>
  <c r="F281" i="22"/>
  <c r="F276" i="22"/>
  <c r="F417" i="22"/>
  <c r="F416" i="22"/>
  <c r="F418" i="22"/>
  <c r="F273" i="22"/>
  <c r="F420" i="22"/>
  <c r="F453" i="22"/>
  <c r="F182" i="22"/>
  <c r="F277" i="22"/>
  <c r="F275" i="22"/>
  <c r="F454" i="22"/>
  <c r="F415" i="22"/>
  <c r="F455" i="22"/>
  <c r="F181" i="22"/>
  <c r="F278" i="22"/>
  <c r="F422" i="22"/>
  <c r="F282" i="22"/>
  <c r="F280" i="22"/>
  <c r="F71" i="22"/>
  <c r="F68" i="22"/>
  <c r="F72" i="22"/>
  <c r="F65" i="22"/>
  <c r="F76" i="22"/>
  <c r="F407" i="22"/>
  <c r="F268" i="22"/>
  <c r="F175" i="22"/>
  <c r="F167" i="22"/>
  <c r="F170" i="22"/>
  <c r="F269" i="22"/>
  <c r="F410" i="22"/>
  <c r="F406" i="22"/>
  <c r="F166" i="22"/>
  <c r="F437" i="22"/>
  <c r="F165" i="22"/>
  <c r="F413" i="22"/>
  <c r="F409" i="22"/>
  <c r="F404" i="22"/>
  <c r="F440" i="22"/>
  <c r="F176" i="22"/>
  <c r="F408" i="22"/>
  <c r="F448" i="22"/>
  <c r="F445" i="22"/>
  <c r="F140" i="22"/>
  <c r="F35" i="22"/>
  <c r="F135" i="22"/>
  <c r="F141" i="22"/>
  <c r="F146" i="22"/>
  <c r="F145" i="22"/>
  <c r="F150" i="22"/>
  <c r="F149" i="22"/>
  <c r="F144" i="22"/>
  <c r="F148" i="22"/>
  <c r="F147" i="22"/>
  <c r="F142" i="22"/>
  <c r="F143" i="22"/>
  <c r="E189" i="22" l="1"/>
  <c r="F197" i="22"/>
  <c r="F230" i="22"/>
  <c r="E222" i="22"/>
  <c r="E90" i="22"/>
  <c r="F98" i="22"/>
  <c r="E288" i="22"/>
  <c r="F296" i="22"/>
  <c r="E356" i="22"/>
  <c r="F364" i="22"/>
  <c r="F329" i="22"/>
  <c r="E321" i="22"/>
  <c r="E428" i="22"/>
  <c r="F436" i="22"/>
  <c r="E55" i="22"/>
  <c r="F63" i="22"/>
  <c r="F164" i="22"/>
  <c r="E156" i="22"/>
  <c r="E255" i="22"/>
  <c r="F263" i="22"/>
  <c r="F403" i="22"/>
  <c r="E395" i="22"/>
  <c r="E123" i="22"/>
  <c r="F131" i="22"/>
  <c r="F123" i="22" s="1"/>
  <c r="F30" i="22"/>
  <c r="E26" i="22"/>
  <c r="D15" i="22" s="1"/>
  <c r="G31" i="23"/>
  <c r="N8" i="23"/>
  <c r="N6" i="23"/>
  <c r="C50" i="24"/>
  <c r="C48" i="24"/>
  <c r="C49" i="24"/>
  <c r="C41" i="24"/>
  <c r="C40" i="24"/>
  <c r="C43" i="24"/>
  <c r="C44" i="24"/>
  <c r="C45" i="24"/>
  <c r="C42" i="24"/>
  <c r="C46" i="24"/>
  <c r="C47" i="24"/>
  <c r="F21" i="14"/>
  <c r="I21" i="14" s="1"/>
  <c r="H21" i="14"/>
  <c r="D36" i="24"/>
  <c r="G35" i="24"/>
  <c r="D35" i="24"/>
  <c r="D33" i="24"/>
  <c r="V12" i="24"/>
  <c r="S12" i="24"/>
  <c r="P12" i="24"/>
  <c r="V11" i="24"/>
  <c r="S11" i="24"/>
  <c r="P11" i="24"/>
  <c r="V10" i="24"/>
  <c r="S10" i="24"/>
  <c r="P10" i="24"/>
  <c r="V9" i="24"/>
  <c r="S9" i="24"/>
  <c r="P9" i="24"/>
  <c r="V8" i="24"/>
  <c r="S8" i="24"/>
  <c r="P8" i="24"/>
  <c r="V7" i="24"/>
  <c r="S7" i="24"/>
  <c r="P7" i="24"/>
  <c r="V6" i="24"/>
  <c r="S6" i="24"/>
  <c r="P6" i="24"/>
  <c r="V5" i="24"/>
  <c r="S5" i="24"/>
  <c r="P5" i="24"/>
  <c r="G30" i="23"/>
  <c r="N75" i="13"/>
  <c r="N74" i="13"/>
  <c r="N73" i="13"/>
  <c r="N72" i="13"/>
  <c r="F145" i="7"/>
  <c r="AN145" i="7"/>
  <c r="AN151" i="7"/>
  <c r="AN150" i="7"/>
  <c r="AN149" i="7"/>
  <c r="AN148" i="7"/>
  <c r="AN147" i="7"/>
  <c r="AN146" i="7"/>
  <c r="AN144" i="7"/>
  <c r="AN143" i="7"/>
  <c r="AN142" i="7"/>
  <c r="AN141" i="7"/>
  <c r="AN140" i="7"/>
  <c r="I74" i="13"/>
  <c r="I75" i="13"/>
  <c r="I68" i="13"/>
  <c r="I72" i="13"/>
  <c r="I73" i="13"/>
  <c r="E4" i="14"/>
  <c r="N48" i="15"/>
  <c r="N49" i="15"/>
  <c r="G43" i="23"/>
  <c r="D26" i="12"/>
  <c r="F4" i="14"/>
  <c r="K23" i="3"/>
  <c r="M23" i="3"/>
  <c r="N23" i="3" s="1"/>
  <c r="K24" i="3"/>
  <c r="M24" i="3"/>
  <c r="N24" i="3" s="1"/>
  <c r="K25" i="3"/>
  <c r="M25" i="3"/>
  <c r="N25" i="3" s="1"/>
  <c r="F10" i="14"/>
  <c r="N46" i="15"/>
  <c r="K34" i="3"/>
  <c r="M34" i="3"/>
  <c r="N34" i="3" s="1"/>
  <c r="K35" i="3"/>
  <c r="M35" i="3"/>
  <c r="O35" i="3" s="1"/>
  <c r="K36" i="3"/>
  <c r="M36" i="3"/>
  <c r="O36" i="3" s="1"/>
  <c r="K55" i="3"/>
  <c r="E47" i="9"/>
  <c r="L31" i="3"/>
  <c r="I31" i="3"/>
  <c r="I26" i="11"/>
  <c r="I27" i="11"/>
  <c r="N50" i="15"/>
  <c r="D11" i="18"/>
  <c r="F10" i="11"/>
  <c r="E10" i="11"/>
  <c r="N29" i="15"/>
  <c r="W16" i="6"/>
  <c r="C7" i="3"/>
  <c r="R13" i="3"/>
  <c r="I19" i="11"/>
  <c r="I20" i="11"/>
  <c r="I5" i="11"/>
  <c r="H5" i="12"/>
  <c r="AE73" i="7"/>
  <c r="AD73" i="7"/>
  <c r="AC73" i="7"/>
  <c r="AB73" i="7"/>
  <c r="N47" i="15"/>
  <c r="F14" i="14"/>
  <c r="F20" i="14"/>
  <c r="F6" i="14"/>
  <c r="E6" i="14"/>
  <c r="N41" i="15"/>
  <c r="N44" i="15"/>
  <c r="F16" i="14"/>
  <c r="AH16" i="6"/>
  <c r="H4" i="14"/>
  <c r="H5" i="14"/>
  <c r="F5" i="14"/>
  <c r="I5" i="14" s="1"/>
  <c r="H6" i="14"/>
  <c r="H7" i="14"/>
  <c r="F7" i="14"/>
  <c r="H8" i="14"/>
  <c r="F8" i="14"/>
  <c r="I8" i="14" s="1"/>
  <c r="H9" i="14"/>
  <c r="F9" i="14"/>
  <c r="H10" i="14"/>
  <c r="H11" i="14"/>
  <c r="F11" i="14"/>
  <c r="H13" i="14"/>
  <c r="F13" i="14"/>
  <c r="I13" i="14" s="1"/>
  <c r="H14" i="14"/>
  <c r="H15" i="14"/>
  <c r="F15" i="14"/>
  <c r="I15" i="14" s="1"/>
  <c r="H16" i="14"/>
  <c r="H17" i="14"/>
  <c r="F17" i="14"/>
  <c r="I17" i="14" s="1"/>
  <c r="H18" i="14"/>
  <c r="F18" i="14"/>
  <c r="I18" i="14" s="1"/>
  <c r="H19" i="14"/>
  <c r="F19" i="14"/>
  <c r="I19" i="14" s="1"/>
  <c r="H20" i="14"/>
  <c r="E13" i="6"/>
  <c r="E12" i="6"/>
  <c r="R42" i="3"/>
  <c r="Q42" i="3"/>
  <c r="L42" i="3"/>
  <c r="I42" i="3"/>
  <c r="I20" i="3"/>
  <c r="Q20" i="3"/>
  <c r="L20" i="3"/>
  <c r="R20" i="3"/>
  <c r="N17" i="15"/>
  <c r="N18" i="15"/>
  <c r="N19" i="15"/>
  <c r="N20" i="15"/>
  <c r="N21" i="15"/>
  <c r="N22" i="15"/>
  <c r="N23" i="15"/>
  <c r="N24" i="15"/>
  <c r="N25" i="15"/>
  <c r="N26" i="15"/>
  <c r="N27" i="15"/>
  <c r="N28" i="15"/>
  <c r="N30" i="15"/>
  <c r="N31" i="15"/>
  <c r="N32" i="15"/>
  <c r="N33" i="15"/>
  <c r="N34" i="15"/>
  <c r="N35" i="15"/>
  <c r="N36" i="15"/>
  <c r="N37" i="15"/>
  <c r="N38" i="15"/>
  <c r="N39" i="15"/>
  <c r="N40" i="15"/>
  <c r="N42" i="15"/>
  <c r="N43" i="15"/>
  <c r="N45" i="15"/>
  <c r="G19" i="14"/>
  <c r="E8" i="14"/>
  <c r="E7" i="14"/>
  <c r="E5" i="14"/>
  <c r="K21" i="3"/>
  <c r="D11" i="3" s="1"/>
  <c r="D12" i="3" s="1"/>
  <c r="K51" i="3"/>
  <c r="K52" i="3"/>
  <c r="M51" i="3"/>
  <c r="N51" i="3" s="1"/>
  <c r="M52" i="3"/>
  <c r="M53" i="3"/>
  <c r="M54" i="3"/>
  <c r="I4" i="14"/>
  <c r="AA16" i="6"/>
  <c r="AE16" i="6" s="1"/>
  <c r="K53" i="3"/>
  <c r="I10" i="14"/>
  <c r="L15" i="18"/>
  <c r="L14" i="18"/>
  <c r="I6" i="14"/>
  <c r="I67" i="13"/>
  <c r="I59" i="13"/>
  <c r="I65" i="13"/>
  <c r="I66" i="13"/>
  <c r="I71" i="13"/>
  <c r="I49" i="13"/>
  <c r="I69" i="13"/>
  <c r="I52" i="13"/>
  <c r="I57" i="13"/>
  <c r="I70" i="13"/>
  <c r="I63" i="13"/>
  <c r="I50" i="13"/>
  <c r="I58" i="13"/>
  <c r="I55" i="13"/>
  <c r="I47" i="13"/>
  <c r="I41" i="13"/>
  <c r="I45" i="13"/>
  <c r="I44" i="13"/>
  <c r="I42" i="13"/>
  <c r="I40" i="13"/>
  <c r="I36" i="13"/>
  <c r="H72" i="13"/>
  <c r="H50" i="13"/>
  <c r="H64" i="13"/>
  <c r="H74" i="13"/>
  <c r="H59" i="13"/>
  <c r="H71" i="13"/>
  <c r="T158" i="13"/>
  <c r="H42" i="13"/>
  <c r="H69" i="13"/>
  <c r="H36" i="13"/>
  <c r="O75" i="13"/>
  <c r="H52" i="13"/>
  <c r="T153" i="13"/>
  <c r="H57" i="13"/>
  <c r="H39" i="13"/>
  <c r="H63" i="13"/>
  <c r="P74" i="13"/>
  <c r="H49" i="13"/>
  <c r="H37" i="13"/>
  <c r="H58" i="13"/>
  <c r="T151" i="13"/>
  <c r="T152" i="13"/>
  <c r="H55" i="13"/>
  <c r="T157" i="13"/>
  <c r="H38" i="13"/>
  <c r="H43" i="13"/>
  <c r="O74" i="13"/>
  <c r="T156" i="13"/>
  <c r="H47" i="13"/>
  <c r="H53" i="13"/>
  <c r="P72" i="13"/>
  <c r="H61" i="13"/>
  <c r="H62" i="13"/>
  <c r="T155" i="13"/>
  <c r="T160" i="13"/>
  <c r="P68" i="13"/>
  <c r="T159" i="13"/>
  <c r="H60" i="13"/>
  <c r="H40" i="13"/>
  <c r="H41" i="13"/>
  <c r="H45" i="13"/>
  <c r="H54" i="13"/>
  <c r="H56" i="13"/>
  <c r="H75" i="13"/>
  <c r="H70" i="13"/>
  <c r="H67" i="13"/>
  <c r="H46" i="13"/>
  <c r="T154" i="13"/>
  <c r="P75" i="13"/>
  <c r="H73" i="13"/>
  <c r="O73" i="13"/>
  <c r="H66" i="13"/>
  <c r="H51" i="13"/>
  <c r="H68" i="13"/>
  <c r="H65" i="13"/>
  <c r="H44" i="13"/>
  <c r="H48" i="13"/>
  <c r="O72" i="13"/>
  <c r="I7" i="14" l="1"/>
  <c r="AJ241" i="6"/>
  <c r="AK241" i="6" s="1"/>
  <c r="AL241" i="6" s="1"/>
  <c r="AJ95" i="6"/>
  <c r="AK95" i="6" s="1"/>
  <c r="AL95" i="6" s="1"/>
  <c r="AJ103" i="6"/>
  <c r="AK103" i="6" s="1"/>
  <c r="AL103" i="6" s="1"/>
  <c r="AJ56" i="6"/>
  <c r="AK56" i="6" s="1"/>
  <c r="AL56" i="6" s="1"/>
  <c r="AJ64" i="6"/>
  <c r="AK64" i="6" s="1"/>
  <c r="AL64" i="6" s="1"/>
  <c r="AJ96" i="6"/>
  <c r="AK96" i="6" s="1"/>
  <c r="AL96" i="6" s="1"/>
  <c r="AJ104" i="6"/>
  <c r="AK104" i="6" s="1"/>
  <c r="AL104" i="6" s="1"/>
  <c r="AJ202" i="6"/>
  <c r="AK202" i="6" s="1"/>
  <c r="AL202" i="6" s="1"/>
  <c r="AJ57" i="6"/>
  <c r="AK57" i="6" s="1"/>
  <c r="AL57" i="6" s="1"/>
  <c r="AJ65" i="6"/>
  <c r="AK65" i="6" s="1"/>
  <c r="AL65" i="6" s="1"/>
  <c r="AJ81" i="6"/>
  <c r="AK81" i="6" s="1"/>
  <c r="AL81" i="6" s="1"/>
  <c r="AJ97" i="6"/>
  <c r="AK97" i="6" s="1"/>
  <c r="AL97" i="6" s="1"/>
  <c r="AJ105" i="6"/>
  <c r="AK105" i="6" s="1"/>
  <c r="AL105" i="6" s="1"/>
  <c r="AJ113" i="6"/>
  <c r="AK113" i="6" s="1"/>
  <c r="AL113" i="6" s="1"/>
  <c r="AJ195" i="6"/>
  <c r="AK195" i="6" s="1"/>
  <c r="AL195" i="6" s="1"/>
  <c r="AJ254" i="6"/>
  <c r="AK254" i="6" s="1"/>
  <c r="AL254" i="6" s="1"/>
  <c r="AJ58" i="6"/>
  <c r="AK58" i="6" s="1"/>
  <c r="AL58" i="6" s="1"/>
  <c r="AJ82" i="6"/>
  <c r="AK82" i="6" s="1"/>
  <c r="AL82" i="6" s="1"/>
  <c r="AJ106" i="6"/>
  <c r="AK106" i="6" s="1"/>
  <c r="AL106" i="6" s="1"/>
  <c r="AJ130" i="6"/>
  <c r="AK130" i="6" s="1"/>
  <c r="AL130" i="6" s="1"/>
  <c r="AJ255" i="6"/>
  <c r="AK255" i="6" s="1"/>
  <c r="AL255" i="6" s="1"/>
  <c r="AJ67" i="6"/>
  <c r="AK67" i="6" s="1"/>
  <c r="AL67" i="6" s="1"/>
  <c r="AJ123" i="6"/>
  <c r="AK123" i="6" s="1"/>
  <c r="AL123" i="6" s="1"/>
  <c r="AJ157" i="6"/>
  <c r="AK157" i="6" s="1"/>
  <c r="AL157" i="6" s="1"/>
  <c r="AJ60" i="6"/>
  <c r="AK60" i="6" s="1"/>
  <c r="AL60" i="6" s="1"/>
  <c r="AJ68" i="6"/>
  <c r="AK68" i="6" s="1"/>
  <c r="AL68" i="6" s="1"/>
  <c r="AJ84" i="6"/>
  <c r="AK84" i="6" s="1"/>
  <c r="AL84" i="6" s="1"/>
  <c r="AJ100" i="6"/>
  <c r="AK100" i="6" s="1"/>
  <c r="AL100" i="6" s="1"/>
  <c r="AJ124" i="6"/>
  <c r="AK124" i="6" s="1"/>
  <c r="AL124" i="6" s="1"/>
  <c r="AJ69" i="6"/>
  <c r="AK69" i="6" s="1"/>
  <c r="AL69" i="6" s="1"/>
  <c r="AJ93" i="6"/>
  <c r="AK93" i="6" s="1"/>
  <c r="AL93" i="6" s="1"/>
  <c r="AJ125" i="6"/>
  <c r="AK125" i="6" s="1"/>
  <c r="AL125" i="6" s="1"/>
  <c r="AJ284" i="6"/>
  <c r="AK284" i="6" s="1"/>
  <c r="AL284" i="6" s="1"/>
  <c r="AJ350" i="6"/>
  <c r="AK350" i="6" s="1"/>
  <c r="AL350" i="6" s="1"/>
  <c r="AJ391" i="6"/>
  <c r="AK391" i="6" s="1"/>
  <c r="AL391" i="6" s="1"/>
  <c r="AJ456" i="6"/>
  <c r="AK456" i="6" s="1"/>
  <c r="AL456" i="6" s="1"/>
  <c r="AJ507" i="6"/>
  <c r="AK507" i="6" s="1"/>
  <c r="AL507" i="6" s="1"/>
  <c r="AJ571" i="6"/>
  <c r="AK571" i="6" s="1"/>
  <c r="AL571" i="6" s="1"/>
  <c r="AJ620" i="6"/>
  <c r="AK620" i="6" s="1"/>
  <c r="AL620" i="6" s="1"/>
  <c r="AJ275" i="6"/>
  <c r="AK275" i="6" s="1"/>
  <c r="AL275" i="6" s="1"/>
  <c r="AJ200" i="6"/>
  <c r="AK200" i="6" s="1"/>
  <c r="AL200" i="6" s="1"/>
  <c r="AJ269" i="6"/>
  <c r="AK269" i="6" s="1"/>
  <c r="AL269" i="6" s="1"/>
  <c r="AJ516" i="6"/>
  <c r="AK516" i="6" s="1"/>
  <c r="AL516" i="6" s="1"/>
  <c r="AJ572" i="6"/>
  <c r="AK572" i="6" s="1"/>
  <c r="AL572" i="6" s="1"/>
  <c r="AJ580" i="6"/>
  <c r="AK580" i="6" s="1"/>
  <c r="AL580" i="6" s="1"/>
  <c r="AJ621" i="6"/>
  <c r="AK621" i="6" s="1"/>
  <c r="AL621" i="6" s="1"/>
  <c r="AJ366" i="6"/>
  <c r="AK366" i="6" s="1"/>
  <c r="AL366" i="6" s="1"/>
  <c r="AJ270" i="6"/>
  <c r="AK270" i="6" s="1"/>
  <c r="AL270" i="6" s="1"/>
  <c r="AJ517" i="6"/>
  <c r="AK517" i="6" s="1"/>
  <c r="AL517" i="6" s="1"/>
  <c r="AJ565" i="6"/>
  <c r="AK565" i="6" s="1"/>
  <c r="AL565" i="6" s="1"/>
  <c r="AJ573" i="6"/>
  <c r="AK573" i="6" s="1"/>
  <c r="AL573" i="6" s="1"/>
  <c r="AJ53" i="6"/>
  <c r="AK53" i="6" s="1"/>
  <c r="AL53" i="6" s="1"/>
  <c r="AJ570" i="6"/>
  <c r="AK570" i="6" s="1"/>
  <c r="AL570" i="6" s="1"/>
  <c r="AJ253" i="6"/>
  <c r="AK253" i="6" s="1"/>
  <c r="AL253" i="6" s="1"/>
  <c r="AJ271" i="6"/>
  <c r="AK271" i="6" s="1"/>
  <c r="AL271" i="6" s="1"/>
  <c r="AJ443" i="6"/>
  <c r="AK443" i="6" s="1"/>
  <c r="AL443" i="6" s="1"/>
  <c r="AJ574" i="6"/>
  <c r="AK574" i="6" s="1"/>
  <c r="AL574" i="6" s="1"/>
  <c r="AJ94" i="6"/>
  <c r="AK94" i="6" s="1"/>
  <c r="AL94" i="6" s="1"/>
  <c r="AJ296" i="6"/>
  <c r="AK296" i="6" s="1"/>
  <c r="AL296" i="6" s="1"/>
  <c r="AJ575" i="6"/>
  <c r="AK575" i="6" s="1"/>
  <c r="AL575" i="6" s="1"/>
  <c r="AJ602" i="6"/>
  <c r="AK602" i="6" s="1"/>
  <c r="AL602" i="6" s="1"/>
  <c r="AJ603" i="6"/>
  <c r="AK603" i="6" s="1"/>
  <c r="AL603" i="6" s="1"/>
  <c r="AJ102" i="6"/>
  <c r="AK102" i="6" s="1"/>
  <c r="AL102" i="6" s="1"/>
  <c r="AJ461" i="6"/>
  <c r="AK461" i="6" s="1"/>
  <c r="AL461" i="6" s="1"/>
  <c r="AJ528" i="6"/>
  <c r="AK528" i="6" s="1"/>
  <c r="AL528" i="6" s="1"/>
  <c r="AJ568" i="6"/>
  <c r="AK568" i="6" s="1"/>
  <c r="AL568" i="6" s="1"/>
  <c r="AJ576" i="6"/>
  <c r="AK576" i="6" s="1"/>
  <c r="AL576" i="6" s="1"/>
  <c r="AJ283" i="6"/>
  <c r="AK283" i="6" s="1"/>
  <c r="AL283" i="6" s="1"/>
  <c r="AJ282" i="6"/>
  <c r="AK282" i="6" s="1"/>
  <c r="AL282" i="6" s="1"/>
  <c r="AJ489" i="6"/>
  <c r="AK489" i="6" s="1"/>
  <c r="AL489" i="6" s="1"/>
  <c r="AJ505" i="6"/>
  <c r="AK505" i="6" s="1"/>
  <c r="AL505" i="6" s="1"/>
  <c r="AJ569" i="6"/>
  <c r="AK569" i="6" s="1"/>
  <c r="AL569" i="6" s="1"/>
  <c r="X622" i="6"/>
  <c r="AB622" i="6" s="1"/>
  <c r="Z626" i="6"/>
  <c r="AD626" i="6" s="1"/>
  <c r="AA626" i="6"/>
  <c r="AE626" i="6" s="1"/>
  <c r="X629" i="6"/>
  <c r="AB629" i="6" s="1"/>
  <c r="X626" i="6"/>
  <c r="AB626" i="6" s="1"/>
  <c r="Y626" i="6"/>
  <c r="AC626" i="6" s="1"/>
  <c r="Y622" i="6"/>
  <c r="AC622" i="6" s="1"/>
  <c r="Z623" i="6"/>
  <c r="AD623" i="6" s="1"/>
  <c r="AA627" i="6"/>
  <c r="AE627" i="6" s="1"/>
  <c r="AA622" i="6"/>
  <c r="AE622" i="6" s="1"/>
  <c r="Y629" i="6"/>
  <c r="AC629" i="6" s="1"/>
  <c r="X628" i="6"/>
  <c r="AB628" i="6" s="1"/>
  <c r="X624" i="6"/>
  <c r="AB624" i="6" s="1"/>
  <c r="AA628" i="6"/>
  <c r="AE628" i="6" s="1"/>
  <c r="Y623" i="6"/>
  <c r="AC623" i="6" s="1"/>
  <c r="Z624" i="6"/>
  <c r="AD624" i="6" s="1"/>
  <c r="AA625" i="6"/>
  <c r="AE625" i="6" s="1"/>
  <c r="Z629" i="6"/>
  <c r="AD629" i="6" s="1"/>
  <c r="Y628" i="6"/>
  <c r="AC628" i="6" s="1"/>
  <c r="X625" i="6"/>
  <c r="AB625" i="6" s="1"/>
  <c r="Y627" i="6"/>
  <c r="AC627" i="6" s="1"/>
  <c r="Y624" i="6"/>
  <c r="AC624" i="6" s="1"/>
  <c r="Z625" i="6"/>
  <c r="AD625" i="6" s="1"/>
  <c r="AA623" i="6"/>
  <c r="AE623" i="6" s="1"/>
  <c r="AA629" i="6"/>
  <c r="AE629" i="6" s="1"/>
  <c r="Z628" i="6"/>
  <c r="AD628" i="6" s="1"/>
  <c r="X627" i="6"/>
  <c r="AB627" i="6" s="1"/>
  <c r="X623" i="6"/>
  <c r="AB623" i="6" s="1"/>
  <c r="Y625" i="6"/>
  <c r="AC625" i="6" s="1"/>
  <c r="Z627" i="6"/>
  <c r="AD627" i="6" s="1"/>
  <c r="Z622" i="6"/>
  <c r="AD622" i="6" s="1"/>
  <c r="AA624" i="6"/>
  <c r="AE624" i="6" s="1"/>
  <c r="D95" i="13"/>
  <c r="D28" i="13"/>
  <c r="D231" i="13"/>
  <c r="D189" i="13"/>
  <c r="D142" i="13"/>
  <c r="X143" i="6"/>
  <c r="AB143" i="6" s="1"/>
  <c r="X476" i="6"/>
  <c r="AB476" i="6" s="1"/>
  <c r="Y240" i="6"/>
  <c r="AC240" i="6" s="1"/>
  <c r="Y488" i="6"/>
  <c r="AC488" i="6" s="1"/>
  <c r="Z329" i="6"/>
  <c r="AD329" i="6" s="1"/>
  <c r="AA55" i="6"/>
  <c r="AE55" i="6" s="1"/>
  <c r="AA359" i="6"/>
  <c r="AE359" i="6" s="1"/>
  <c r="X224" i="6"/>
  <c r="AB224" i="6" s="1"/>
  <c r="X477" i="6"/>
  <c r="AB477" i="6" s="1"/>
  <c r="Y241" i="6"/>
  <c r="AC241" i="6" s="1"/>
  <c r="Y600" i="6"/>
  <c r="AC600" i="6" s="1"/>
  <c r="Z349" i="6"/>
  <c r="AD349" i="6" s="1"/>
  <c r="AA142" i="6"/>
  <c r="AE142" i="6" s="1"/>
  <c r="AA400" i="6"/>
  <c r="AE400" i="6" s="1"/>
  <c r="Z240" i="6"/>
  <c r="AD240" i="6" s="1"/>
  <c r="Y477" i="6"/>
  <c r="AC477" i="6" s="1"/>
  <c r="X240" i="6"/>
  <c r="AB240" i="6" s="1"/>
  <c r="X488" i="6"/>
  <c r="AB488" i="6" s="1"/>
  <c r="Y329" i="6"/>
  <c r="AC329" i="6" s="1"/>
  <c r="Z55" i="6"/>
  <c r="AD55" i="6" s="1"/>
  <c r="Z359" i="6"/>
  <c r="AD359" i="6" s="1"/>
  <c r="AA143" i="6"/>
  <c r="AE143" i="6" s="1"/>
  <c r="AA476" i="6"/>
  <c r="AE476" i="6" s="1"/>
  <c r="AA600" i="6"/>
  <c r="AE600" i="6" s="1"/>
  <c r="X359" i="6"/>
  <c r="AB359" i="6" s="1"/>
  <c r="Z488" i="6"/>
  <c r="AD488" i="6" s="1"/>
  <c r="Y224" i="6"/>
  <c r="AC224" i="6" s="1"/>
  <c r="X241" i="6"/>
  <c r="AB241" i="6" s="1"/>
  <c r="X600" i="6"/>
  <c r="AB600" i="6" s="1"/>
  <c r="Y349" i="6"/>
  <c r="AC349" i="6" s="1"/>
  <c r="Z142" i="6"/>
  <c r="AD142" i="6" s="1"/>
  <c r="Z400" i="6"/>
  <c r="AD400" i="6" s="1"/>
  <c r="AA224" i="6"/>
  <c r="AE224" i="6" s="1"/>
  <c r="AA477" i="6"/>
  <c r="AE477" i="6" s="1"/>
  <c r="AA241" i="6"/>
  <c r="AE241" i="6" s="1"/>
  <c r="Y476" i="6"/>
  <c r="AC476" i="6" s="1"/>
  <c r="X142" i="6"/>
  <c r="AB142" i="6" s="1"/>
  <c r="Z600" i="6"/>
  <c r="AD600" i="6" s="1"/>
  <c r="X329" i="6"/>
  <c r="AB329" i="6" s="1"/>
  <c r="Y55" i="6"/>
  <c r="AC55" i="6" s="1"/>
  <c r="Y359" i="6"/>
  <c r="AC359" i="6" s="1"/>
  <c r="Z143" i="6"/>
  <c r="AD143" i="6" s="1"/>
  <c r="Z476" i="6"/>
  <c r="AD476" i="6" s="1"/>
  <c r="AA240" i="6"/>
  <c r="AE240" i="6" s="1"/>
  <c r="AA488" i="6"/>
  <c r="AE488" i="6" s="1"/>
  <c r="Z477" i="6"/>
  <c r="AD477" i="6" s="1"/>
  <c r="X55" i="6"/>
  <c r="AB55" i="6" s="1"/>
  <c r="X400" i="6"/>
  <c r="AB400" i="6" s="1"/>
  <c r="AA349" i="6"/>
  <c r="AE349" i="6" s="1"/>
  <c r="X349" i="6"/>
  <c r="AB349" i="6" s="1"/>
  <c r="Y142" i="6"/>
  <c r="AC142" i="6" s="1"/>
  <c r="Y400" i="6"/>
  <c r="AC400" i="6" s="1"/>
  <c r="Z224" i="6"/>
  <c r="AD224" i="6" s="1"/>
  <c r="Y143" i="6"/>
  <c r="AC143" i="6" s="1"/>
  <c r="AA329" i="6"/>
  <c r="AE329" i="6" s="1"/>
  <c r="Z241" i="6"/>
  <c r="AD241" i="6" s="1"/>
  <c r="X19" i="6"/>
  <c r="AB19" i="6" s="1"/>
  <c r="X27" i="6"/>
  <c r="AB27" i="6" s="1"/>
  <c r="X35" i="6"/>
  <c r="AB35" i="6" s="1"/>
  <c r="X43" i="6"/>
  <c r="AB43" i="6" s="1"/>
  <c r="X51" i="6"/>
  <c r="AB51" i="6" s="1"/>
  <c r="X60" i="6"/>
  <c r="AB60" i="6" s="1"/>
  <c r="X68" i="6"/>
  <c r="AB68" i="6" s="1"/>
  <c r="X76" i="6"/>
  <c r="AB76" i="6" s="1"/>
  <c r="X84" i="6"/>
  <c r="AB84" i="6" s="1"/>
  <c r="X92" i="6"/>
  <c r="AB92" i="6" s="1"/>
  <c r="X100" i="6"/>
  <c r="AB100" i="6" s="1"/>
  <c r="X108" i="6"/>
  <c r="AB108" i="6" s="1"/>
  <c r="X116" i="6"/>
  <c r="AB116" i="6" s="1"/>
  <c r="X124" i="6"/>
  <c r="AB124" i="6" s="1"/>
  <c r="X132" i="6"/>
  <c r="AB132" i="6" s="1"/>
  <c r="X140" i="6"/>
  <c r="AB140" i="6" s="1"/>
  <c r="X150" i="6"/>
  <c r="AB150" i="6" s="1"/>
  <c r="X158" i="6"/>
  <c r="AB158" i="6" s="1"/>
  <c r="X166" i="6"/>
  <c r="AB166" i="6" s="1"/>
  <c r="X174" i="6"/>
  <c r="AB174" i="6" s="1"/>
  <c r="X182" i="6"/>
  <c r="AB182" i="6" s="1"/>
  <c r="X190" i="6"/>
  <c r="AB190" i="6" s="1"/>
  <c r="X198" i="6"/>
  <c r="AB198" i="6" s="1"/>
  <c r="X206" i="6"/>
  <c r="AB206" i="6" s="1"/>
  <c r="X214" i="6"/>
  <c r="AB214" i="6" s="1"/>
  <c r="X222" i="6"/>
  <c r="AB222" i="6" s="1"/>
  <c r="X231" i="6"/>
  <c r="AB231" i="6" s="1"/>
  <c r="X239" i="6"/>
  <c r="AB239" i="6" s="1"/>
  <c r="X249" i="6"/>
  <c r="AB249" i="6" s="1"/>
  <c r="X257" i="6"/>
  <c r="AB257" i="6" s="1"/>
  <c r="X265" i="6"/>
  <c r="AB265" i="6" s="1"/>
  <c r="X273" i="6"/>
  <c r="AB273" i="6" s="1"/>
  <c r="X281" i="6"/>
  <c r="AB281" i="6" s="1"/>
  <c r="X20" i="6"/>
  <c r="AB20" i="6" s="1"/>
  <c r="X28" i="6"/>
  <c r="AB28" i="6" s="1"/>
  <c r="X36" i="6"/>
  <c r="AB36" i="6" s="1"/>
  <c r="X44" i="6"/>
  <c r="AB44" i="6" s="1"/>
  <c r="X52" i="6"/>
  <c r="AB52" i="6" s="1"/>
  <c r="X61" i="6"/>
  <c r="AB61" i="6" s="1"/>
  <c r="X69" i="6"/>
  <c r="AB69" i="6" s="1"/>
  <c r="X77" i="6"/>
  <c r="AB77" i="6" s="1"/>
  <c r="X85" i="6"/>
  <c r="AB85" i="6" s="1"/>
  <c r="X93" i="6"/>
  <c r="AB93" i="6" s="1"/>
  <c r="X101" i="6"/>
  <c r="AB101" i="6" s="1"/>
  <c r="X109" i="6"/>
  <c r="AB109" i="6" s="1"/>
  <c r="X117" i="6"/>
  <c r="AB117" i="6" s="1"/>
  <c r="X125" i="6"/>
  <c r="AB125" i="6" s="1"/>
  <c r="X133" i="6"/>
  <c r="AB133" i="6" s="1"/>
  <c r="X141" i="6"/>
  <c r="AB141" i="6" s="1"/>
  <c r="X151" i="6"/>
  <c r="AB151" i="6" s="1"/>
  <c r="X159" i="6"/>
  <c r="AB159" i="6" s="1"/>
  <c r="X167" i="6"/>
  <c r="AB167" i="6" s="1"/>
  <c r="X175" i="6"/>
  <c r="AB175" i="6" s="1"/>
  <c r="X183" i="6"/>
  <c r="AB183" i="6" s="1"/>
  <c r="X191" i="6"/>
  <c r="AB191" i="6" s="1"/>
  <c r="X199" i="6"/>
  <c r="AB199" i="6" s="1"/>
  <c r="X207" i="6"/>
  <c r="AB207" i="6" s="1"/>
  <c r="X215" i="6"/>
  <c r="AB215" i="6" s="1"/>
  <c r="X223" i="6"/>
  <c r="AB223" i="6" s="1"/>
  <c r="X232" i="6"/>
  <c r="AB232" i="6" s="1"/>
  <c r="X242" i="6"/>
  <c r="AB242" i="6" s="1"/>
  <c r="X250" i="6"/>
  <c r="AB250" i="6" s="1"/>
  <c r="X258" i="6"/>
  <c r="AB258" i="6" s="1"/>
  <c r="X266" i="6"/>
  <c r="AB266" i="6" s="1"/>
  <c r="X274" i="6"/>
  <c r="AB274" i="6" s="1"/>
  <c r="X282" i="6"/>
  <c r="AB282" i="6" s="1"/>
  <c r="X290" i="6"/>
  <c r="AB290" i="6" s="1"/>
  <c r="X298" i="6"/>
  <c r="AB298" i="6" s="1"/>
  <c r="X306" i="6"/>
  <c r="AB306" i="6" s="1"/>
  <c r="X314" i="6"/>
  <c r="AB314" i="6" s="1"/>
  <c r="X322" i="6"/>
  <c r="AB322" i="6" s="1"/>
  <c r="X331" i="6"/>
  <c r="AB331" i="6" s="1"/>
  <c r="X339" i="6"/>
  <c r="AB339" i="6" s="1"/>
  <c r="X347" i="6"/>
  <c r="AB347" i="6" s="1"/>
  <c r="X356" i="6"/>
  <c r="AB356" i="6" s="1"/>
  <c r="X365" i="6"/>
  <c r="AB365" i="6" s="1"/>
  <c r="X373" i="6"/>
  <c r="AB373" i="6" s="1"/>
  <c r="X381" i="6"/>
  <c r="AB381" i="6" s="1"/>
  <c r="X389" i="6"/>
  <c r="AB389" i="6" s="1"/>
  <c r="X397" i="6"/>
  <c r="AB397" i="6" s="1"/>
  <c r="X406" i="6"/>
  <c r="AB406" i="6" s="1"/>
  <c r="X414" i="6"/>
  <c r="AB414" i="6" s="1"/>
  <c r="X422" i="6"/>
  <c r="AB422" i="6" s="1"/>
  <c r="X430" i="6"/>
  <c r="AB430" i="6" s="1"/>
  <c r="X438" i="6"/>
  <c r="AB438" i="6" s="1"/>
  <c r="X446" i="6"/>
  <c r="AB446" i="6" s="1"/>
  <c r="X454" i="6"/>
  <c r="AB454" i="6" s="1"/>
  <c r="X462" i="6"/>
  <c r="AB462" i="6" s="1"/>
  <c r="X470" i="6"/>
  <c r="AB470" i="6" s="1"/>
  <c r="X480" i="6"/>
  <c r="AB480" i="6" s="1"/>
  <c r="X489" i="6"/>
  <c r="AB489" i="6" s="1"/>
  <c r="X497" i="6"/>
  <c r="AB497" i="6" s="1"/>
  <c r="X505" i="6"/>
  <c r="AB505" i="6" s="1"/>
  <c r="X513" i="6"/>
  <c r="AB513" i="6" s="1"/>
  <c r="X521" i="6"/>
  <c r="AB521" i="6" s="1"/>
  <c r="X529" i="6"/>
  <c r="AB529" i="6" s="1"/>
  <c r="X537" i="6"/>
  <c r="AB537" i="6" s="1"/>
  <c r="X545" i="6"/>
  <c r="AB545" i="6" s="1"/>
  <c r="X553" i="6"/>
  <c r="AB553" i="6" s="1"/>
  <c r="X561" i="6"/>
  <c r="AB561" i="6" s="1"/>
  <c r="X569" i="6"/>
  <c r="AB569" i="6" s="1"/>
  <c r="X577" i="6"/>
  <c r="AB577" i="6" s="1"/>
  <c r="X585" i="6"/>
  <c r="AB585" i="6" s="1"/>
  <c r="X593" i="6"/>
  <c r="AB593" i="6" s="1"/>
  <c r="X602" i="6"/>
  <c r="AB602" i="6" s="1"/>
  <c r="X610" i="6"/>
  <c r="AB610" i="6" s="1"/>
  <c r="X618" i="6"/>
  <c r="AB618" i="6" s="1"/>
  <c r="Y21" i="6"/>
  <c r="AC21" i="6" s="1"/>
  <c r="Y29" i="6"/>
  <c r="AC29" i="6" s="1"/>
  <c r="Y37" i="6"/>
  <c r="AC37" i="6" s="1"/>
  <c r="Y45" i="6"/>
  <c r="AC45" i="6" s="1"/>
  <c r="Y53" i="6"/>
  <c r="AC53" i="6" s="1"/>
  <c r="Y62" i="6"/>
  <c r="AC62" i="6" s="1"/>
  <c r="Y70" i="6"/>
  <c r="AC70" i="6" s="1"/>
  <c r="Y78" i="6"/>
  <c r="AC78" i="6" s="1"/>
  <c r="Y86" i="6"/>
  <c r="AC86" i="6" s="1"/>
  <c r="Y94" i="6"/>
  <c r="AC94" i="6" s="1"/>
  <c r="Y102" i="6"/>
  <c r="AC102" i="6" s="1"/>
  <c r="X21" i="6"/>
  <c r="AB21" i="6" s="1"/>
  <c r="X29" i="6"/>
  <c r="AB29" i="6" s="1"/>
  <c r="X37" i="6"/>
  <c r="AB37" i="6" s="1"/>
  <c r="X45" i="6"/>
  <c r="AB45" i="6" s="1"/>
  <c r="X53" i="6"/>
  <c r="AB53" i="6" s="1"/>
  <c r="X62" i="6"/>
  <c r="AB62" i="6" s="1"/>
  <c r="X70" i="6"/>
  <c r="AB70" i="6" s="1"/>
  <c r="X78" i="6"/>
  <c r="AB78" i="6" s="1"/>
  <c r="X86" i="6"/>
  <c r="AB86" i="6" s="1"/>
  <c r="X94" i="6"/>
  <c r="AB94" i="6" s="1"/>
  <c r="X102" i="6"/>
  <c r="AB102" i="6" s="1"/>
  <c r="X110" i="6"/>
  <c r="AB110" i="6" s="1"/>
  <c r="X118" i="6"/>
  <c r="AB118" i="6" s="1"/>
  <c r="X126" i="6"/>
  <c r="AB126" i="6" s="1"/>
  <c r="X134" i="6"/>
  <c r="AB134" i="6" s="1"/>
  <c r="X144" i="6"/>
  <c r="AB144" i="6" s="1"/>
  <c r="X152" i="6"/>
  <c r="AB152" i="6" s="1"/>
  <c r="X160" i="6"/>
  <c r="AB160" i="6" s="1"/>
  <c r="X168" i="6"/>
  <c r="AB168" i="6" s="1"/>
  <c r="X176" i="6"/>
  <c r="AB176" i="6" s="1"/>
  <c r="X184" i="6"/>
  <c r="AB184" i="6" s="1"/>
  <c r="X192" i="6"/>
  <c r="AB192" i="6" s="1"/>
  <c r="X200" i="6"/>
  <c r="AB200" i="6" s="1"/>
  <c r="X208" i="6"/>
  <c r="AB208" i="6" s="1"/>
  <c r="X216" i="6"/>
  <c r="AB216" i="6" s="1"/>
  <c r="X225" i="6"/>
  <c r="AB225" i="6" s="1"/>
  <c r="X233" i="6"/>
  <c r="AB233" i="6" s="1"/>
  <c r="X243" i="6"/>
  <c r="AB243" i="6" s="1"/>
  <c r="X251" i="6"/>
  <c r="AB251" i="6" s="1"/>
  <c r="X259" i="6"/>
  <c r="AB259" i="6" s="1"/>
  <c r="X267" i="6"/>
  <c r="AB267" i="6" s="1"/>
  <c r="X275" i="6"/>
  <c r="AB275" i="6" s="1"/>
  <c r="X283" i="6"/>
  <c r="AB283" i="6" s="1"/>
  <c r="X291" i="6"/>
  <c r="AB291" i="6" s="1"/>
  <c r="X299" i="6"/>
  <c r="AB299" i="6" s="1"/>
  <c r="X307" i="6"/>
  <c r="AB307" i="6" s="1"/>
  <c r="X315" i="6"/>
  <c r="AB315" i="6" s="1"/>
  <c r="X323" i="6"/>
  <c r="AB323" i="6" s="1"/>
  <c r="X332" i="6"/>
  <c r="AB332" i="6" s="1"/>
  <c r="X340" i="6"/>
  <c r="AB340" i="6" s="1"/>
  <c r="X348" i="6"/>
  <c r="AB348" i="6" s="1"/>
  <c r="X357" i="6"/>
  <c r="AB357" i="6" s="1"/>
  <c r="X366" i="6"/>
  <c r="AB366" i="6" s="1"/>
  <c r="X374" i="6"/>
  <c r="AB374" i="6" s="1"/>
  <c r="X382" i="6"/>
  <c r="AB382" i="6" s="1"/>
  <c r="X390" i="6"/>
  <c r="AB390" i="6" s="1"/>
  <c r="X398" i="6"/>
  <c r="AB398" i="6" s="1"/>
  <c r="X407" i="6"/>
  <c r="AB407" i="6" s="1"/>
  <c r="X415" i="6"/>
  <c r="AB415" i="6" s="1"/>
  <c r="X423" i="6"/>
  <c r="AB423" i="6" s="1"/>
  <c r="X431" i="6"/>
  <c r="AB431" i="6" s="1"/>
  <c r="X439" i="6"/>
  <c r="AB439" i="6" s="1"/>
  <c r="X447" i="6"/>
  <c r="AB447" i="6" s="1"/>
  <c r="X455" i="6"/>
  <c r="AB455" i="6" s="1"/>
  <c r="X463" i="6"/>
  <c r="AB463" i="6" s="1"/>
  <c r="X471" i="6"/>
  <c r="AB471" i="6" s="1"/>
  <c r="X481" i="6"/>
  <c r="AB481" i="6" s="1"/>
  <c r="X490" i="6"/>
  <c r="AB490" i="6" s="1"/>
  <c r="X498" i="6"/>
  <c r="AB498" i="6" s="1"/>
  <c r="X506" i="6"/>
  <c r="AB506" i="6" s="1"/>
  <c r="X514" i="6"/>
  <c r="AB514" i="6" s="1"/>
  <c r="X522" i="6"/>
  <c r="AB522" i="6" s="1"/>
  <c r="X530" i="6"/>
  <c r="AB530" i="6" s="1"/>
  <c r="X538" i="6"/>
  <c r="AB538" i="6" s="1"/>
  <c r="X546" i="6"/>
  <c r="AB546" i="6" s="1"/>
  <c r="X554" i="6"/>
  <c r="AB554" i="6" s="1"/>
  <c r="X562" i="6"/>
  <c r="AB562" i="6" s="1"/>
  <c r="X570" i="6"/>
  <c r="AB570" i="6" s="1"/>
  <c r="X578" i="6"/>
  <c r="AB578" i="6" s="1"/>
  <c r="X586" i="6"/>
  <c r="AB586" i="6" s="1"/>
  <c r="X594" i="6"/>
  <c r="AB594" i="6" s="1"/>
  <c r="X603" i="6"/>
  <c r="AB603" i="6" s="1"/>
  <c r="X611" i="6"/>
  <c r="AB611" i="6" s="1"/>
  <c r="X619" i="6"/>
  <c r="AB619" i="6" s="1"/>
  <c r="Y22" i="6"/>
  <c r="AC22" i="6" s="1"/>
  <c r="Y30" i="6"/>
  <c r="AC30" i="6" s="1"/>
  <c r="Y38" i="6"/>
  <c r="AC38" i="6" s="1"/>
  <c r="Y46" i="6"/>
  <c r="AC46" i="6" s="1"/>
  <c r="Y54" i="6"/>
  <c r="AC54" i="6" s="1"/>
  <c r="Y63" i="6"/>
  <c r="AC63" i="6" s="1"/>
  <c r="Y71" i="6"/>
  <c r="AC71" i="6" s="1"/>
  <c r="Y79" i="6"/>
  <c r="AC79" i="6" s="1"/>
  <c r="Y87" i="6"/>
  <c r="AC87" i="6" s="1"/>
  <c r="Y95" i="6"/>
  <c r="AC95" i="6" s="1"/>
  <c r="Y103" i="6"/>
  <c r="AC103" i="6" s="1"/>
  <c r="X22" i="6"/>
  <c r="AB22" i="6" s="1"/>
  <c r="X30" i="6"/>
  <c r="AB30" i="6" s="1"/>
  <c r="X38" i="6"/>
  <c r="AB38" i="6" s="1"/>
  <c r="X46" i="6"/>
  <c r="AB46" i="6" s="1"/>
  <c r="X54" i="6"/>
  <c r="AB54" i="6" s="1"/>
  <c r="X63" i="6"/>
  <c r="AB63" i="6" s="1"/>
  <c r="X71" i="6"/>
  <c r="AB71" i="6" s="1"/>
  <c r="X79" i="6"/>
  <c r="AB79" i="6" s="1"/>
  <c r="X87" i="6"/>
  <c r="AB87" i="6" s="1"/>
  <c r="X95" i="6"/>
  <c r="AB95" i="6" s="1"/>
  <c r="X103" i="6"/>
  <c r="AB103" i="6" s="1"/>
  <c r="X111" i="6"/>
  <c r="AB111" i="6" s="1"/>
  <c r="X119" i="6"/>
  <c r="AB119" i="6" s="1"/>
  <c r="X127" i="6"/>
  <c r="AB127" i="6" s="1"/>
  <c r="X135" i="6"/>
  <c r="AB135" i="6" s="1"/>
  <c r="X145" i="6"/>
  <c r="AB145" i="6" s="1"/>
  <c r="X153" i="6"/>
  <c r="AB153" i="6" s="1"/>
  <c r="X161" i="6"/>
  <c r="AB161" i="6" s="1"/>
  <c r="X169" i="6"/>
  <c r="AB169" i="6" s="1"/>
  <c r="X177" i="6"/>
  <c r="AB177" i="6" s="1"/>
  <c r="X185" i="6"/>
  <c r="AB185" i="6" s="1"/>
  <c r="X193" i="6"/>
  <c r="AB193" i="6" s="1"/>
  <c r="X201" i="6"/>
  <c r="AB201" i="6" s="1"/>
  <c r="X209" i="6"/>
  <c r="AB209" i="6" s="1"/>
  <c r="X217" i="6"/>
  <c r="AB217" i="6" s="1"/>
  <c r="X226" i="6"/>
  <c r="AB226" i="6" s="1"/>
  <c r="X234" i="6"/>
  <c r="AB234" i="6" s="1"/>
  <c r="X244" i="6"/>
  <c r="AB244" i="6" s="1"/>
  <c r="X252" i="6"/>
  <c r="AB252" i="6" s="1"/>
  <c r="X260" i="6"/>
  <c r="AB260" i="6" s="1"/>
  <c r="X268" i="6"/>
  <c r="AB268" i="6" s="1"/>
  <c r="X276" i="6"/>
  <c r="AB276" i="6" s="1"/>
  <c r="X284" i="6"/>
  <c r="AB284" i="6" s="1"/>
  <c r="X292" i="6"/>
  <c r="AB292" i="6" s="1"/>
  <c r="X300" i="6"/>
  <c r="AB300" i="6" s="1"/>
  <c r="X308" i="6"/>
  <c r="AB308" i="6" s="1"/>
  <c r="X316" i="6"/>
  <c r="AB316" i="6" s="1"/>
  <c r="X324" i="6"/>
  <c r="AB324" i="6" s="1"/>
  <c r="X333" i="6"/>
  <c r="AB333" i="6" s="1"/>
  <c r="X341" i="6"/>
  <c r="AB341" i="6" s="1"/>
  <c r="X350" i="6"/>
  <c r="AB350" i="6" s="1"/>
  <c r="X358" i="6"/>
  <c r="AB358" i="6" s="1"/>
  <c r="X367" i="6"/>
  <c r="AB367" i="6" s="1"/>
  <c r="X375" i="6"/>
  <c r="AB375" i="6" s="1"/>
  <c r="X383" i="6"/>
  <c r="AB383" i="6" s="1"/>
  <c r="X391" i="6"/>
  <c r="AB391" i="6" s="1"/>
  <c r="X399" i="6"/>
  <c r="AB399" i="6" s="1"/>
  <c r="X408" i="6"/>
  <c r="AB408" i="6" s="1"/>
  <c r="X416" i="6"/>
  <c r="AB416" i="6" s="1"/>
  <c r="X424" i="6"/>
  <c r="AB424" i="6" s="1"/>
  <c r="X432" i="6"/>
  <c r="AB432" i="6" s="1"/>
  <c r="X440" i="6"/>
  <c r="AB440" i="6" s="1"/>
  <c r="X448" i="6"/>
  <c r="AB448" i="6" s="1"/>
  <c r="X456" i="6"/>
  <c r="AB456" i="6" s="1"/>
  <c r="X464" i="6"/>
  <c r="AB464" i="6" s="1"/>
  <c r="X472" i="6"/>
  <c r="AB472" i="6" s="1"/>
  <c r="X482" i="6"/>
  <c r="AB482" i="6" s="1"/>
  <c r="X491" i="6"/>
  <c r="AB491" i="6" s="1"/>
  <c r="X499" i="6"/>
  <c r="AB499" i="6" s="1"/>
  <c r="X507" i="6"/>
  <c r="AB507" i="6" s="1"/>
  <c r="X515" i="6"/>
  <c r="AB515" i="6" s="1"/>
  <c r="X523" i="6"/>
  <c r="AB523" i="6" s="1"/>
  <c r="X531" i="6"/>
  <c r="AB531" i="6" s="1"/>
  <c r="X539" i="6"/>
  <c r="AB539" i="6" s="1"/>
  <c r="X547" i="6"/>
  <c r="AB547" i="6" s="1"/>
  <c r="X555" i="6"/>
  <c r="AB555" i="6" s="1"/>
  <c r="X563" i="6"/>
  <c r="AB563" i="6" s="1"/>
  <c r="X571" i="6"/>
  <c r="AB571" i="6" s="1"/>
  <c r="X579" i="6"/>
  <c r="AB579" i="6" s="1"/>
  <c r="X587" i="6"/>
  <c r="AB587" i="6" s="1"/>
  <c r="X595" i="6"/>
  <c r="AB595" i="6" s="1"/>
  <c r="X604" i="6"/>
  <c r="AB604" i="6" s="1"/>
  <c r="X612" i="6"/>
  <c r="AB612" i="6" s="1"/>
  <c r="X620" i="6"/>
  <c r="AB620" i="6" s="1"/>
  <c r="Y23" i="6"/>
  <c r="AC23" i="6" s="1"/>
  <c r="Y31" i="6"/>
  <c r="AC31" i="6" s="1"/>
  <c r="Y39" i="6"/>
  <c r="AC39" i="6" s="1"/>
  <c r="Y47" i="6"/>
  <c r="AC47" i="6" s="1"/>
  <c r="Y56" i="6"/>
  <c r="AC56" i="6" s="1"/>
  <c r="Y64" i="6"/>
  <c r="AC64" i="6" s="1"/>
  <c r="Y72" i="6"/>
  <c r="AC72" i="6" s="1"/>
  <c r="Y80" i="6"/>
  <c r="AC80" i="6" s="1"/>
  <c r="Y88" i="6"/>
  <c r="AC88" i="6" s="1"/>
  <c r="Y96" i="6"/>
  <c r="AC96" i="6" s="1"/>
  <c r="Y104" i="6"/>
  <c r="AC104" i="6" s="1"/>
  <c r="X23" i="6"/>
  <c r="AB23" i="6" s="1"/>
  <c r="X31" i="6"/>
  <c r="AB31" i="6" s="1"/>
  <c r="X39" i="6"/>
  <c r="AB39" i="6" s="1"/>
  <c r="X47" i="6"/>
  <c r="AB47" i="6" s="1"/>
  <c r="X56" i="6"/>
  <c r="AB56" i="6" s="1"/>
  <c r="X64" i="6"/>
  <c r="AB64" i="6" s="1"/>
  <c r="X72" i="6"/>
  <c r="AB72" i="6" s="1"/>
  <c r="X80" i="6"/>
  <c r="AB80" i="6" s="1"/>
  <c r="X88" i="6"/>
  <c r="AB88" i="6" s="1"/>
  <c r="X96" i="6"/>
  <c r="AB96" i="6" s="1"/>
  <c r="X104" i="6"/>
  <c r="AB104" i="6" s="1"/>
  <c r="X112" i="6"/>
  <c r="AB112" i="6" s="1"/>
  <c r="X120" i="6"/>
  <c r="AB120" i="6" s="1"/>
  <c r="X128" i="6"/>
  <c r="AB128" i="6" s="1"/>
  <c r="X136" i="6"/>
  <c r="AB136" i="6" s="1"/>
  <c r="X146" i="6"/>
  <c r="AB146" i="6" s="1"/>
  <c r="X154" i="6"/>
  <c r="AB154" i="6" s="1"/>
  <c r="X162" i="6"/>
  <c r="AB162" i="6" s="1"/>
  <c r="X170" i="6"/>
  <c r="AB170" i="6" s="1"/>
  <c r="X178" i="6"/>
  <c r="AB178" i="6" s="1"/>
  <c r="X186" i="6"/>
  <c r="AB186" i="6" s="1"/>
  <c r="X194" i="6"/>
  <c r="AB194" i="6" s="1"/>
  <c r="X202" i="6"/>
  <c r="AB202" i="6" s="1"/>
  <c r="X210" i="6"/>
  <c r="AB210" i="6" s="1"/>
  <c r="X218" i="6"/>
  <c r="AB218" i="6" s="1"/>
  <c r="X227" i="6"/>
  <c r="AB227" i="6" s="1"/>
  <c r="X235" i="6"/>
  <c r="AB235" i="6" s="1"/>
  <c r="X245" i="6"/>
  <c r="AB245" i="6" s="1"/>
  <c r="X253" i="6"/>
  <c r="AB253" i="6" s="1"/>
  <c r="X261" i="6"/>
  <c r="AB261" i="6" s="1"/>
  <c r="X269" i="6"/>
  <c r="AB269" i="6" s="1"/>
  <c r="X277" i="6"/>
  <c r="AB277" i="6" s="1"/>
  <c r="X285" i="6"/>
  <c r="AB285" i="6" s="1"/>
  <c r="X293" i="6"/>
  <c r="AB293" i="6" s="1"/>
  <c r="X301" i="6"/>
  <c r="AB301" i="6" s="1"/>
  <c r="X309" i="6"/>
  <c r="AB309" i="6" s="1"/>
  <c r="X317" i="6"/>
  <c r="AB317" i="6" s="1"/>
  <c r="X325" i="6"/>
  <c r="AB325" i="6" s="1"/>
  <c r="X334" i="6"/>
  <c r="AB334" i="6" s="1"/>
  <c r="X342" i="6"/>
  <c r="AB342" i="6" s="1"/>
  <c r="X351" i="6"/>
  <c r="AB351" i="6" s="1"/>
  <c r="X360" i="6"/>
  <c r="AB360" i="6" s="1"/>
  <c r="X368" i="6"/>
  <c r="AB368" i="6" s="1"/>
  <c r="X376" i="6"/>
  <c r="AB376" i="6" s="1"/>
  <c r="X384" i="6"/>
  <c r="AB384" i="6" s="1"/>
  <c r="X392" i="6"/>
  <c r="AB392" i="6" s="1"/>
  <c r="X401" i="6"/>
  <c r="AB401" i="6" s="1"/>
  <c r="X24" i="6"/>
  <c r="AB24" i="6" s="1"/>
  <c r="X32" i="6"/>
  <c r="AB32" i="6" s="1"/>
  <c r="X40" i="6"/>
  <c r="AB40" i="6" s="1"/>
  <c r="X48" i="6"/>
  <c r="AB48" i="6" s="1"/>
  <c r="X57" i="6"/>
  <c r="AB57" i="6" s="1"/>
  <c r="X65" i="6"/>
  <c r="AB65" i="6" s="1"/>
  <c r="X73" i="6"/>
  <c r="AB73" i="6" s="1"/>
  <c r="X81" i="6"/>
  <c r="AB81" i="6" s="1"/>
  <c r="X89" i="6"/>
  <c r="AB89" i="6" s="1"/>
  <c r="X97" i="6"/>
  <c r="AB97" i="6" s="1"/>
  <c r="X105" i="6"/>
  <c r="AB105" i="6" s="1"/>
  <c r="X113" i="6"/>
  <c r="AB113" i="6" s="1"/>
  <c r="X121" i="6"/>
  <c r="AB121" i="6" s="1"/>
  <c r="X129" i="6"/>
  <c r="AB129" i="6" s="1"/>
  <c r="X137" i="6"/>
  <c r="AB137" i="6" s="1"/>
  <c r="X147" i="6"/>
  <c r="AB147" i="6" s="1"/>
  <c r="X155" i="6"/>
  <c r="AB155" i="6" s="1"/>
  <c r="X163" i="6"/>
  <c r="AB163" i="6" s="1"/>
  <c r="X171" i="6"/>
  <c r="AB171" i="6" s="1"/>
  <c r="X179" i="6"/>
  <c r="AB179" i="6" s="1"/>
  <c r="X187" i="6"/>
  <c r="AB187" i="6" s="1"/>
  <c r="X195" i="6"/>
  <c r="AB195" i="6" s="1"/>
  <c r="X203" i="6"/>
  <c r="AB203" i="6" s="1"/>
  <c r="X211" i="6"/>
  <c r="AB211" i="6" s="1"/>
  <c r="X219" i="6"/>
  <c r="AB219" i="6" s="1"/>
  <c r="X228" i="6"/>
  <c r="AB228" i="6" s="1"/>
  <c r="X236" i="6"/>
  <c r="AB236" i="6" s="1"/>
  <c r="X246" i="6"/>
  <c r="AB246" i="6" s="1"/>
  <c r="X254" i="6"/>
  <c r="AB254" i="6" s="1"/>
  <c r="X262" i="6"/>
  <c r="AB262" i="6" s="1"/>
  <c r="X270" i="6"/>
  <c r="AB270" i="6" s="1"/>
  <c r="X278" i="6"/>
  <c r="AB278" i="6" s="1"/>
  <c r="X286" i="6"/>
  <c r="AB286" i="6" s="1"/>
  <c r="X294" i="6"/>
  <c r="AB294" i="6" s="1"/>
  <c r="X302" i="6"/>
  <c r="AB302" i="6" s="1"/>
  <c r="X310" i="6"/>
  <c r="AB310" i="6" s="1"/>
  <c r="X318" i="6"/>
  <c r="AB318" i="6" s="1"/>
  <c r="X326" i="6"/>
  <c r="AB326" i="6" s="1"/>
  <c r="X335" i="6"/>
  <c r="AB335" i="6" s="1"/>
  <c r="X343" i="6"/>
  <c r="AB343" i="6" s="1"/>
  <c r="X352" i="6"/>
  <c r="AB352" i="6" s="1"/>
  <c r="X361" i="6"/>
  <c r="AB361" i="6" s="1"/>
  <c r="X369" i="6"/>
  <c r="AB369" i="6" s="1"/>
  <c r="X377" i="6"/>
  <c r="AB377" i="6" s="1"/>
  <c r="X385" i="6"/>
  <c r="AB385" i="6" s="1"/>
  <c r="X393" i="6"/>
  <c r="AB393" i="6" s="1"/>
  <c r="X402" i="6"/>
  <c r="AB402" i="6" s="1"/>
  <c r="X410" i="6"/>
  <c r="AB410" i="6" s="1"/>
  <c r="X418" i="6"/>
  <c r="AB418" i="6" s="1"/>
  <c r="X426" i="6"/>
  <c r="AB426" i="6" s="1"/>
  <c r="X434" i="6"/>
  <c r="AB434" i="6" s="1"/>
  <c r="X442" i="6"/>
  <c r="AB442" i="6" s="1"/>
  <c r="X450" i="6"/>
  <c r="AB450" i="6" s="1"/>
  <c r="X458" i="6"/>
  <c r="AB458" i="6" s="1"/>
  <c r="X466" i="6"/>
  <c r="AB466" i="6" s="1"/>
  <c r="X474" i="6"/>
  <c r="AB474" i="6" s="1"/>
  <c r="X484" i="6"/>
  <c r="AB484" i="6" s="1"/>
  <c r="X493" i="6"/>
  <c r="AB493" i="6" s="1"/>
  <c r="X501" i="6"/>
  <c r="AB501" i="6" s="1"/>
  <c r="X509" i="6"/>
  <c r="AB509" i="6" s="1"/>
  <c r="X517" i="6"/>
  <c r="AB517" i="6" s="1"/>
  <c r="X525" i="6"/>
  <c r="AB525" i="6" s="1"/>
  <c r="X533" i="6"/>
  <c r="AB533" i="6" s="1"/>
  <c r="X541" i="6"/>
  <c r="AB541" i="6" s="1"/>
  <c r="X17" i="6"/>
  <c r="AB17" i="6" s="1"/>
  <c r="X25" i="6"/>
  <c r="AB25" i="6" s="1"/>
  <c r="X33" i="6"/>
  <c r="AB33" i="6" s="1"/>
  <c r="X41" i="6"/>
  <c r="AB41" i="6" s="1"/>
  <c r="X34" i="6"/>
  <c r="AB34" i="6" s="1"/>
  <c r="X74" i="6"/>
  <c r="AB74" i="6" s="1"/>
  <c r="X106" i="6"/>
  <c r="AB106" i="6" s="1"/>
  <c r="X138" i="6"/>
  <c r="AB138" i="6" s="1"/>
  <c r="X172" i="6"/>
  <c r="AB172" i="6" s="1"/>
  <c r="X204" i="6"/>
  <c r="AB204" i="6" s="1"/>
  <c r="X237" i="6"/>
  <c r="AB237" i="6" s="1"/>
  <c r="X271" i="6"/>
  <c r="AB271" i="6" s="1"/>
  <c r="X296" i="6"/>
  <c r="AB296" i="6" s="1"/>
  <c r="X319" i="6"/>
  <c r="AB319" i="6" s="1"/>
  <c r="X338" i="6"/>
  <c r="AB338" i="6" s="1"/>
  <c r="X363" i="6"/>
  <c r="AB363" i="6" s="1"/>
  <c r="X386" i="6"/>
  <c r="AB386" i="6" s="1"/>
  <c r="X405" i="6"/>
  <c r="AB405" i="6" s="1"/>
  <c r="X421" i="6"/>
  <c r="AB421" i="6" s="1"/>
  <c r="X437" i="6"/>
  <c r="AB437" i="6" s="1"/>
  <c r="X453" i="6"/>
  <c r="AB453" i="6" s="1"/>
  <c r="X469" i="6"/>
  <c r="AB469" i="6" s="1"/>
  <c r="X487" i="6"/>
  <c r="AB487" i="6" s="1"/>
  <c r="X504" i="6"/>
  <c r="AB504" i="6" s="1"/>
  <c r="X520" i="6"/>
  <c r="AB520" i="6" s="1"/>
  <c r="X536" i="6"/>
  <c r="AB536" i="6" s="1"/>
  <c r="X551" i="6"/>
  <c r="AB551" i="6" s="1"/>
  <c r="X565" i="6"/>
  <c r="AB565" i="6" s="1"/>
  <c r="X576" i="6"/>
  <c r="AB576" i="6" s="1"/>
  <c r="X590" i="6"/>
  <c r="AB590" i="6" s="1"/>
  <c r="X605" i="6"/>
  <c r="AB605" i="6" s="1"/>
  <c r="X616" i="6"/>
  <c r="AB616" i="6" s="1"/>
  <c r="Y25" i="6"/>
  <c r="AC25" i="6" s="1"/>
  <c r="Y36" i="6"/>
  <c r="AC36" i="6" s="1"/>
  <c r="Y50" i="6"/>
  <c r="AC50" i="6" s="1"/>
  <c r="Y65" i="6"/>
  <c r="AC65" i="6" s="1"/>
  <c r="Y76" i="6"/>
  <c r="AC76" i="6" s="1"/>
  <c r="Y90" i="6"/>
  <c r="AC90" i="6" s="1"/>
  <c r="Y101" i="6"/>
  <c r="AC101" i="6" s="1"/>
  <c r="Y112" i="6"/>
  <c r="AC112" i="6" s="1"/>
  <c r="Y120" i="6"/>
  <c r="AC120" i="6" s="1"/>
  <c r="Y128" i="6"/>
  <c r="AC128" i="6" s="1"/>
  <c r="Y136" i="6"/>
  <c r="AC136" i="6" s="1"/>
  <c r="Y146" i="6"/>
  <c r="AC146" i="6" s="1"/>
  <c r="Y154" i="6"/>
  <c r="AC154" i="6" s="1"/>
  <c r="Y162" i="6"/>
  <c r="AC162" i="6" s="1"/>
  <c r="Y170" i="6"/>
  <c r="AC170" i="6" s="1"/>
  <c r="Y178" i="6"/>
  <c r="AC178" i="6" s="1"/>
  <c r="Y186" i="6"/>
  <c r="AC186" i="6" s="1"/>
  <c r="Y194" i="6"/>
  <c r="AC194" i="6" s="1"/>
  <c r="Y202" i="6"/>
  <c r="AC202" i="6" s="1"/>
  <c r="Y210" i="6"/>
  <c r="AC210" i="6" s="1"/>
  <c r="Y218" i="6"/>
  <c r="AC218" i="6" s="1"/>
  <c r="Y227" i="6"/>
  <c r="AC227" i="6" s="1"/>
  <c r="Y235" i="6"/>
  <c r="AC235" i="6" s="1"/>
  <c r="Y245" i="6"/>
  <c r="AC245" i="6" s="1"/>
  <c r="Y253" i="6"/>
  <c r="AC253" i="6" s="1"/>
  <c r="Y261" i="6"/>
  <c r="AC261" i="6" s="1"/>
  <c r="Y269" i="6"/>
  <c r="AC269" i="6" s="1"/>
  <c r="Y277" i="6"/>
  <c r="AC277" i="6" s="1"/>
  <c r="Y285" i="6"/>
  <c r="AC285" i="6" s="1"/>
  <c r="Y293" i="6"/>
  <c r="AC293" i="6" s="1"/>
  <c r="Y301" i="6"/>
  <c r="AC301" i="6" s="1"/>
  <c r="Y309" i="6"/>
  <c r="AC309" i="6" s="1"/>
  <c r="Y317" i="6"/>
  <c r="AC317" i="6" s="1"/>
  <c r="Y325" i="6"/>
  <c r="AC325" i="6" s="1"/>
  <c r="Y334" i="6"/>
  <c r="AC334" i="6" s="1"/>
  <c r="Y342" i="6"/>
  <c r="AC342" i="6" s="1"/>
  <c r="Y351" i="6"/>
  <c r="AC351" i="6" s="1"/>
  <c r="Y360" i="6"/>
  <c r="AC360" i="6" s="1"/>
  <c r="Y368" i="6"/>
  <c r="AC368" i="6" s="1"/>
  <c r="Y376" i="6"/>
  <c r="AC376" i="6" s="1"/>
  <c r="Y384" i="6"/>
  <c r="AC384" i="6" s="1"/>
  <c r="Y392" i="6"/>
  <c r="AC392" i="6" s="1"/>
  <c r="Y401" i="6"/>
  <c r="AC401" i="6" s="1"/>
  <c r="Y409" i="6"/>
  <c r="AC409" i="6" s="1"/>
  <c r="Y417" i="6"/>
  <c r="AC417" i="6" s="1"/>
  <c r="Y425" i="6"/>
  <c r="AC425" i="6" s="1"/>
  <c r="Y433" i="6"/>
  <c r="AC433" i="6" s="1"/>
  <c r="Y441" i="6"/>
  <c r="AC441" i="6" s="1"/>
  <c r="Y449" i="6"/>
  <c r="AC449" i="6" s="1"/>
  <c r="Y457" i="6"/>
  <c r="AC457" i="6" s="1"/>
  <c r="Y465" i="6"/>
  <c r="AC465" i="6" s="1"/>
  <c r="Y473" i="6"/>
  <c r="AC473" i="6" s="1"/>
  <c r="Y483" i="6"/>
  <c r="AC483" i="6" s="1"/>
  <c r="Y492" i="6"/>
  <c r="AC492" i="6" s="1"/>
  <c r="Y500" i="6"/>
  <c r="AC500" i="6" s="1"/>
  <c r="Y508" i="6"/>
  <c r="AC508" i="6" s="1"/>
  <c r="X42" i="6"/>
  <c r="AB42" i="6" s="1"/>
  <c r="X75" i="6"/>
  <c r="AB75" i="6" s="1"/>
  <c r="X107" i="6"/>
  <c r="AB107" i="6" s="1"/>
  <c r="X139" i="6"/>
  <c r="AB139" i="6" s="1"/>
  <c r="X173" i="6"/>
  <c r="AB173" i="6" s="1"/>
  <c r="X205" i="6"/>
  <c r="AB205" i="6" s="1"/>
  <c r="X238" i="6"/>
  <c r="AB238" i="6" s="1"/>
  <c r="X272" i="6"/>
  <c r="AB272" i="6" s="1"/>
  <c r="X297" i="6"/>
  <c r="AB297" i="6" s="1"/>
  <c r="X320" i="6"/>
  <c r="AB320" i="6" s="1"/>
  <c r="X344" i="6"/>
  <c r="AB344" i="6" s="1"/>
  <c r="X364" i="6"/>
  <c r="AB364" i="6" s="1"/>
  <c r="X387" i="6"/>
  <c r="AB387" i="6" s="1"/>
  <c r="X409" i="6"/>
  <c r="AB409" i="6" s="1"/>
  <c r="X425" i="6"/>
  <c r="AB425" i="6" s="1"/>
  <c r="X441" i="6"/>
  <c r="AB441" i="6" s="1"/>
  <c r="X457" i="6"/>
  <c r="AB457" i="6" s="1"/>
  <c r="X473" i="6"/>
  <c r="AB473" i="6" s="1"/>
  <c r="X492" i="6"/>
  <c r="AB492" i="6" s="1"/>
  <c r="X508" i="6"/>
  <c r="AB508" i="6" s="1"/>
  <c r="X524" i="6"/>
  <c r="AB524" i="6" s="1"/>
  <c r="X540" i="6"/>
  <c r="AB540" i="6" s="1"/>
  <c r="X552" i="6"/>
  <c r="AB552" i="6" s="1"/>
  <c r="X566" i="6"/>
  <c r="AB566" i="6" s="1"/>
  <c r="X580" i="6"/>
  <c r="AB580" i="6" s="1"/>
  <c r="X591" i="6"/>
  <c r="AB591" i="6" s="1"/>
  <c r="X606" i="6"/>
  <c r="AB606" i="6" s="1"/>
  <c r="X617" i="6"/>
  <c r="AB617" i="6" s="1"/>
  <c r="Y26" i="6"/>
  <c r="AC26" i="6" s="1"/>
  <c r="Y40" i="6"/>
  <c r="AC40" i="6" s="1"/>
  <c r="Y51" i="6"/>
  <c r="AC51" i="6" s="1"/>
  <c r="Y66" i="6"/>
  <c r="AC66" i="6" s="1"/>
  <c r="Y77" i="6"/>
  <c r="AC77" i="6" s="1"/>
  <c r="Y91" i="6"/>
  <c r="AC91" i="6" s="1"/>
  <c r="Y105" i="6"/>
  <c r="AC105" i="6" s="1"/>
  <c r="Y113" i="6"/>
  <c r="AC113" i="6" s="1"/>
  <c r="Y121" i="6"/>
  <c r="AC121" i="6" s="1"/>
  <c r="Y129" i="6"/>
  <c r="AC129" i="6" s="1"/>
  <c r="Y137" i="6"/>
  <c r="AC137" i="6" s="1"/>
  <c r="Y147" i="6"/>
  <c r="AC147" i="6" s="1"/>
  <c r="Y155" i="6"/>
  <c r="AC155" i="6" s="1"/>
  <c r="Y163" i="6"/>
  <c r="AC163" i="6" s="1"/>
  <c r="Y171" i="6"/>
  <c r="AC171" i="6" s="1"/>
  <c r="Y179" i="6"/>
  <c r="AC179" i="6" s="1"/>
  <c r="Y187" i="6"/>
  <c r="AC187" i="6" s="1"/>
  <c r="Y195" i="6"/>
  <c r="AC195" i="6" s="1"/>
  <c r="Y203" i="6"/>
  <c r="AC203" i="6" s="1"/>
  <c r="Y211" i="6"/>
  <c r="AC211" i="6" s="1"/>
  <c r="Y219" i="6"/>
  <c r="AC219" i="6" s="1"/>
  <c r="Y228" i="6"/>
  <c r="AC228" i="6" s="1"/>
  <c r="Y236" i="6"/>
  <c r="AC236" i="6" s="1"/>
  <c r="Y246" i="6"/>
  <c r="AC246" i="6" s="1"/>
  <c r="Y254" i="6"/>
  <c r="AC254" i="6" s="1"/>
  <c r="Y262" i="6"/>
  <c r="AC262" i="6" s="1"/>
  <c r="Y270" i="6"/>
  <c r="AC270" i="6" s="1"/>
  <c r="Y278" i="6"/>
  <c r="AC278" i="6" s="1"/>
  <c r="Y286" i="6"/>
  <c r="AC286" i="6" s="1"/>
  <c r="Y294" i="6"/>
  <c r="AC294" i="6" s="1"/>
  <c r="Y302" i="6"/>
  <c r="AC302" i="6" s="1"/>
  <c r="Y310" i="6"/>
  <c r="AC310" i="6" s="1"/>
  <c r="Y318" i="6"/>
  <c r="AC318" i="6" s="1"/>
  <c r="Y326" i="6"/>
  <c r="AC326" i="6" s="1"/>
  <c r="Y335" i="6"/>
  <c r="AC335" i="6" s="1"/>
  <c r="Y343" i="6"/>
  <c r="AC343" i="6" s="1"/>
  <c r="Y352" i="6"/>
  <c r="AC352" i="6" s="1"/>
  <c r="Y361" i="6"/>
  <c r="AC361" i="6" s="1"/>
  <c r="Y369" i="6"/>
  <c r="AC369" i="6" s="1"/>
  <c r="Y377" i="6"/>
  <c r="AC377" i="6" s="1"/>
  <c r="Y385" i="6"/>
  <c r="AC385" i="6" s="1"/>
  <c r="Y393" i="6"/>
  <c r="AC393" i="6" s="1"/>
  <c r="Y402" i="6"/>
  <c r="AC402" i="6" s="1"/>
  <c r="Y410" i="6"/>
  <c r="AC410" i="6" s="1"/>
  <c r="Y418" i="6"/>
  <c r="AC418" i="6" s="1"/>
  <c r="Y426" i="6"/>
  <c r="AC426" i="6" s="1"/>
  <c r="Y434" i="6"/>
  <c r="AC434" i="6" s="1"/>
  <c r="Y442" i="6"/>
  <c r="AC442" i="6" s="1"/>
  <c r="Y450" i="6"/>
  <c r="AC450" i="6" s="1"/>
  <c r="Y458" i="6"/>
  <c r="AC458" i="6" s="1"/>
  <c r="Y466" i="6"/>
  <c r="AC466" i="6" s="1"/>
  <c r="Y474" i="6"/>
  <c r="AC474" i="6" s="1"/>
  <c r="Y484" i="6"/>
  <c r="AC484" i="6" s="1"/>
  <c r="Y493" i="6"/>
  <c r="AC493" i="6" s="1"/>
  <c r="Y501" i="6"/>
  <c r="AC501" i="6" s="1"/>
  <c r="Y509" i="6"/>
  <c r="AC509" i="6" s="1"/>
  <c r="X49" i="6"/>
  <c r="AB49" i="6" s="1"/>
  <c r="X82" i="6"/>
  <c r="AB82" i="6" s="1"/>
  <c r="X114" i="6"/>
  <c r="AB114" i="6" s="1"/>
  <c r="X148" i="6"/>
  <c r="AB148" i="6" s="1"/>
  <c r="X180" i="6"/>
  <c r="AB180" i="6" s="1"/>
  <c r="X212" i="6"/>
  <c r="AB212" i="6" s="1"/>
  <c r="X247" i="6"/>
  <c r="AB247" i="6" s="1"/>
  <c r="X279" i="6"/>
  <c r="AB279" i="6" s="1"/>
  <c r="X303" i="6"/>
  <c r="AB303" i="6" s="1"/>
  <c r="X321" i="6"/>
  <c r="AB321" i="6" s="1"/>
  <c r="X345" i="6"/>
  <c r="AB345" i="6" s="1"/>
  <c r="X370" i="6"/>
  <c r="AB370" i="6" s="1"/>
  <c r="X388" i="6"/>
  <c r="AB388" i="6" s="1"/>
  <c r="X411" i="6"/>
  <c r="AB411" i="6" s="1"/>
  <c r="X427" i="6"/>
  <c r="AB427" i="6" s="1"/>
  <c r="X443" i="6"/>
  <c r="AB443" i="6" s="1"/>
  <c r="X459" i="6"/>
  <c r="AB459" i="6" s="1"/>
  <c r="X475" i="6"/>
  <c r="AB475" i="6" s="1"/>
  <c r="X494" i="6"/>
  <c r="AB494" i="6" s="1"/>
  <c r="X510" i="6"/>
  <c r="AB510" i="6" s="1"/>
  <c r="X526" i="6"/>
  <c r="AB526" i="6" s="1"/>
  <c r="X542" i="6"/>
  <c r="AB542" i="6" s="1"/>
  <c r="X556" i="6"/>
  <c r="AB556" i="6" s="1"/>
  <c r="X567" i="6"/>
  <c r="AB567" i="6" s="1"/>
  <c r="X581" i="6"/>
  <c r="AB581" i="6" s="1"/>
  <c r="X592" i="6"/>
  <c r="AB592" i="6" s="1"/>
  <c r="X607" i="6"/>
  <c r="AB607" i="6" s="1"/>
  <c r="X621" i="6"/>
  <c r="AB621" i="6" s="1"/>
  <c r="Y27" i="6"/>
  <c r="AC27" i="6" s="1"/>
  <c r="Y41" i="6"/>
  <c r="AC41" i="6" s="1"/>
  <c r="Y52" i="6"/>
  <c r="AC52" i="6" s="1"/>
  <c r="Y67" i="6"/>
  <c r="AC67" i="6" s="1"/>
  <c r="Y81" i="6"/>
  <c r="AC81" i="6" s="1"/>
  <c r="Y92" i="6"/>
  <c r="AC92" i="6" s="1"/>
  <c r="Y106" i="6"/>
  <c r="AC106" i="6" s="1"/>
  <c r="Y114" i="6"/>
  <c r="AC114" i="6" s="1"/>
  <c r="Y122" i="6"/>
  <c r="AC122" i="6" s="1"/>
  <c r="Y130" i="6"/>
  <c r="AC130" i="6" s="1"/>
  <c r="Y138" i="6"/>
  <c r="AC138" i="6" s="1"/>
  <c r="Y148" i="6"/>
  <c r="AC148" i="6" s="1"/>
  <c r="Y156" i="6"/>
  <c r="AC156" i="6" s="1"/>
  <c r="Y164" i="6"/>
  <c r="AC164" i="6" s="1"/>
  <c r="Y172" i="6"/>
  <c r="AC172" i="6" s="1"/>
  <c r="Y180" i="6"/>
  <c r="AC180" i="6" s="1"/>
  <c r="Y188" i="6"/>
  <c r="AC188" i="6" s="1"/>
  <c r="Y196" i="6"/>
  <c r="AC196" i="6" s="1"/>
  <c r="Y204" i="6"/>
  <c r="AC204" i="6" s="1"/>
  <c r="Y212" i="6"/>
  <c r="AC212" i="6" s="1"/>
  <c r="Y220" i="6"/>
  <c r="AC220" i="6" s="1"/>
  <c r="Y229" i="6"/>
  <c r="AC229" i="6" s="1"/>
  <c r="Y237" i="6"/>
  <c r="AC237" i="6" s="1"/>
  <c r="Y247" i="6"/>
  <c r="AC247" i="6" s="1"/>
  <c r="Y255" i="6"/>
  <c r="AC255" i="6" s="1"/>
  <c r="Y263" i="6"/>
  <c r="AC263" i="6" s="1"/>
  <c r="Y271" i="6"/>
  <c r="AC271" i="6" s="1"/>
  <c r="Y279" i="6"/>
  <c r="AC279" i="6" s="1"/>
  <c r="Y287" i="6"/>
  <c r="AC287" i="6" s="1"/>
  <c r="Y295" i="6"/>
  <c r="AC295" i="6" s="1"/>
  <c r="Y303" i="6"/>
  <c r="AC303" i="6" s="1"/>
  <c r="Y311" i="6"/>
  <c r="AC311" i="6" s="1"/>
  <c r="Y319" i="6"/>
  <c r="AC319" i="6" s="1"/>
  <c r="Y327" i="6"/>
  <c r="AC327" i="6" s="1"/>
  <c r="Y336" i="6"/>
  <c r="AC336" i="6" s="1"/>
  <c r="Y344" i="6"/>
  <c r="AC344" i="6" s="1"/>
  <c r="Y353" i="6"/>
  <c r="AC353" i="6" s="1"/>
  <c r="Y362" i="6"/>
  <c r="AC362" i="6" s="1"/>
  <c r="Y370" i="6"/>
  <c r="AC370" i="6" s="1"/>
  <c r="Y378" i="6"/>
  <c r="AC378" i="6" s="1"/>
  <c r="Y386" i="6"/>
  <c r="AC386" i="6" s="1"/>
  <c r="Y394" i="6"/>
  <c r="AC394" i="6" s="1"/>
  <c r="Y403" i="6"/>
  <c r="AC403" i="6" s="1"/>
  <c r="Y411" i="6"/>
  <c r="AC411" i="6" s="1"/>
  <c r="Y419" i="6"/>
  <c r="AC419" i="6" s="1"/>
  <c r="Y427" i="6"/>
  <c r="AC427" i="6" s="1"/>
  <c r="Y435" i="6"/>
  <c r="AC435" i="6" s="1"/>
  <c r="Y443" i="6"/>
  <c r="AC443" i="6" s="1"/>
  <c r="Y451" i="6"/>
  <c r="AC451" i="6" s="1"/>
  <c r="Y459" i="6"/>
  <c r="AC459" i="6" s="1"/>
  <c r="Y467" i="6"/>
  <c r="AC467" i="6" s="1"/>
  <c r="Y475" i="6"/>
  <c r="AC475" i="6" s="1"/>
  <c r="Y485" i="6"/>
  <c r="AC485" i="6" s="1"/>
  <c r="Y494" i="6"/>
  <c r="AC494" i="6" s="1"/>
  <c r="Y502" i="6"/>
  <c r="AC502" i="6" s="1"/>
  <c r="Y510" i="6"/>
  <c r="AC510" i="6" s="1"/>
  <c r="Y518" i="6"/>
  <c r="AC518" i="6" s="1"/>
  <c r="X50" i="6"/>
  <c r="AB50" i="6" s="1"/>
  <c r="X83" i="6"/>
  <c r="AB83" i="6" s="1"/>
  <c r="X115" i="6"/>
  <c r="AB115" i="6" s="1"/>
  <c r="X149" i="6"/>
  <c r="AB149" i="6" s="1"/>
  <c r="X181" i="6"/>
  <c r="AB181" i="6" s="1"/>
  <c r="X213" i="6"/>
  <c r="AB213" i="6" s="1"/>
  <c r="X248" i="6"/>
  <c r="AB248" i="6" s="1"/>
  <c r="X280" i="6"/>
  <c r="AB280" i="6" s="1"/>
  <c r="X304" i="6"/>
  <c r="AB304" i="6" s="1"/>
  <c r="X327" i="6"/>
  <c r="AB327" i="6" s="1"/>
  <c r="X346" i="6"/>
  <c r="AB346" i="6" s="1"/>
  <c r="X371" i="6"/>
  <c r="AB371" i="6" s="1"/>
  <c r="X394" i="6"/>
  <c r="AB394" i="6" s="1"/>
  <c r="X412" i="6"/>
  <c r="AB412" i="6" s="1"/>
  <c r="X428" i="6"/>
  <c r="AB428" i="6" s="1"/>
  <c r="X444" i="6"/>
  <c r="AB444" i="6" s="1"/>
  <c r="X460" i="6"/>
  <c r="AB460" i="6" s="1"/>
  <c r="X478" i="6"/>
  <c r="AB478" i="6" s="1"/>
  <c r="X495" i="6"/>
  <c r="AB495" i="6" s="1"/>
  <c r="X511" i="6"/>
  <c r="AB511" i="6" s="1"/>
  <c r="X527" i="6"/>
  <c r="AB527" i="6" s="1"/>
  <c r="X543" i="6"/>
  <c r="AB543" i="6" s="1"/>
  <c r="X557" i="6"/>
  <c r="AB557" i="6" s="1"/>
  <c r="X568" i="6"/>
  <c r="AB568" i="6" s="1"/>
  <c r="X582" i="6"/>
  <c r="AB582" i="6" s="1"/>
  <c r="X596" i="6"/>
  <c r="AB596" i="6" s="1"/>
  <c r="X608" i="6"/>
  <c r="AB608" i="6" s="1"/>
  <c r="Y17" i="6"/>
  <c r="AC17" i="6" s="1"/>
  <c r="Y28" i="6"/>
  <c r="AC28" i="6" s="1"/>
  <c r="Y42" i="6"/>
  <c r="AC42" i="6" s="1"/>
  <c r="Y57" i="6"/>
  <c r="AC57" i="6" s="1"/>
  <c r="Y68" i="6"/>
  <c r="AC68" i="6" s="1"/>
  <c r="Y82" i="6"/>
  <c r="AC82" i="6" s="1"/>
  <c r="Y93" i="6"/>
  <c r="AC93" i="6" s="1"/>
  <c r="Y107" i="6"/>
  <c r="AC107" i="6" s="1"/>
  <c r="Y115" i="6"/>
  <c r="AC115" i="6" s="1"/>
  <c r="Y123" i="6"/>
  <c r="AC123" i="6" s="1"/>
  <c r="Y131" i="6"/>
  <c r="AC131" i="6" s="1"/>
  <c r="Y139" i="6"/>
  <c r="AC139" i="6" s="1"/>
  <c r="Y149" i="6"/>
  <c r="AC149" i="6" s="1"/>
  <c r="Y157" i="6"/>
  <c r="AC157" i="6" s="1"/>
  <c r="Y165" i="6"/>
  <c r="AC165" i="6" s="1"/>
  <c r="Y173" i="6"/>
  <c r="AC173" i="6" s="1"/>
  <c r="Y181" i="6"/>
  <c r="AC181" i="6" s="1"/>
  <c r="Y189" i="6"/>
  <c r="AC189" i="6" s="1"/>
  <c r="Y197" i="6"/>
  <c r="AC197" i="6" s="1"/>
  <c r="Y205" i="6"/>
  <c r="AC205" i="6" s="1"/>
  <c r="Y213" i="6"/>
  <c r="AC213" i="6" s="1"/>
  <c r="Y221" i="6"/>
  <c r="AC221" i="6" s="1"/>
  <c r="Y230" i="6"/>
  <c r="AC230" i="6" s="1"/>
  <c r="Y238" i="6"/>
  <c r="AC238" i="6" s="1"/>
  <c r="Y248" i="6"/>
  <c r="AC248" i="6" s="1"/>
  <c r="Y256" i="6"/>
  <c r="AC256" i="6" s="1"/>
  <c r="Y264" i="6"/>
  <c r="AC264" i="6" s="1"/>
  <c r="Y272" i="6"/>
  <c r="AC272" i="6" s="1"/>
  <c r="Y280" i="6"/>
  <c r="AC280" i="6" s="1"/>
  <c r="Y288" i="6"/>
  <c r="AC288" i="6" s="1"/>
  <c r="Y296" i="6"/>
  <c r="AC296" i="6" s="1"/>
  <c r="Y304" i="6"/>
  <c r="AC304" i="6" s="1"/>
  <c r="Y312" i="6"/>
  <c r="AC312" i="6" s="1"/>
  <c r="Y320" i="6"/>
  <c r="AC320" i="6" s="1"/>
  <c r="Y328" i="6"/>
  <c r="AC328" i="6" s="1"/>
  <c r="Y337" i="6"/>
  <c r="AC337" i="6" s="1"/>
  <c r="Y345" i="6"/>
  <c r="AC345" i="6" s="1"/>
  <c r="Y354" i="6"/>
  <c r="AC354" i="6" s="1"/>
  <c r="Y363" i="6"/>
  <c r="AC363" i="6" s="1"/>
  <c r="Y371" i="6"/>
  <c r="AC371" i="6" s="1"/>
  <c r="Y379" i="6"/>
  <c r="AC379" i="6" s="1"/>
  <c r="Y387" i="6"/>
  <c r="AC387" i="6" s="1"/>
  <c r="Y395" i="6"/>
  <c r="AC395" i="6" s="1"/>
  <c r="Y404" i="6"/>
  <c r="AC404" i="6" s="1"/>
  <c r="Y412" i="6"/>
  <c r="AC412" i="6" s="1"/>
  <c r="Y420" i="6"/>
  <c r="AC420" i="6" s="1"/>
  <c r="Y428" i="6"/>
  <c r="AC428" i="6" s="1"/>
  <c r="Y436" i="6"/>
  <c r="AC436" i="6" s="1"/>
  <c r="Y444" i="6"/>
  <c r="AC444" i="6" s="1"/>
  <c r="Y452" i="6"/>
  <c r="AC452" i="6" s="1"/>
  <c r="Y460" i="6"/>
  <c r="AC460" i="6" s="1"/>
  <c r="Y468" i="6"/>
  <c r="AC468" i="6" s="1"/>
  <c r="Y478" i="6"/>
  <c r="AC478" i="6" s="1"/>
  <c r="Y486" i="6"/>
  <c r="AC486" i="6" s="1"/>
  <c r="Y495" i="6"/>
  <c r="AC495" i="6" s="1"/>
  <c r="Y503" i="6"/>
  <c r="AC503" i="6" s="1"/>
  <c r="X58" i="6"/>
  <c r="AB58" i="6" s="1"/>
  <c r="X90" i="6"/>
  <c r="AB90" i="6" s="1"/>
  <c r="X122" i="6"/>
  <c r="AB122" i="6" s="1"/>
  <c r="X156" i="6"/>
  <c r="AB156" i="6" s="1"/>
  <c r="X188" i="6"/>
  <c r="AB188" i="6" s="1"/>
  <c r="X220" i="6"/>
  <c r="AB220" i="6" s="1"/>
  <c r="X255" i="6"/>
  <c r="AB255" i="6" s="1"/>
  <c r="X287" i="6"/>
  <c r="AB287" i="6" s="1"/>
  <c r="X305" i="6"/>
  <c r="AB305" i="6" s="1"/>
  <c r="X328" i="6"/>
  <c r="AB328" i="6" s="1"/>
  <c r="X353" i="6"/>
  <c r="AB353" i="6" s="1"/>
  <c r="X372" i="6"/>
  <c r="AB372" i="6" s="1"/>
  <c r="X395" i="6"/>
  <c r="AB395" i="6" s="1"/>
  <c r="X413" i="6"/>
  <c r="AB413" i="6" s="1"/>
  <c r="X429" i="6"/>
  <c r="AB429" i="6" s="1"/>
  <c r="X445" i="6"/>
  <c r="AB445" i="6" s="1"/>
  <c r="X461" i="6"/>
  <c r="AB461" i="6" s="1"/>
  <c r="X479" i="6"/>
  <c r="AB479" i="6" s="1"/>
  <c r="X496" i="6"/>
  <c r="AB496" i="6" s="1"/>
  <c r="X512" i="6"/>
  <c r="AB512" i="6" s="1"/>
  <c r="X528" i="6"/>
  <c r="AB528" i="6" s="1"/>
  <c r="X544" i="6"/>
  <c r="AB544" i="6" s="1"/>
  <c r="X558" i="6"/>
  <c r="AB558" i="6" s="1"/>
  <c r="X572" i="6"/>
  <c r="AB572" i="6" s="1"/>
  <c r="X583" i="6"/>
  <c r="AB583" i="6" s="1"/>
  <c r="X597" i="6"/>
  <c r="AB597" i="6" s="1"/>
  <c r="X609" i="6"/>
  <c r="AB609" i="6" s="1"/>
  <c r="Y18" i="6"/>
  <c r="AC18" i="6" s="1"/>
  <c r="Y32" i="6"/>
  <c r="AC32" i="6" s="1"/>
  <c r="Y43" i="6"/>
  <c r="AC43" i="6" s="1"/>
  <c r="Y58" i="6"/>
  <c r="AC58" i="6" s="1"/>
  <c r="Y69" i="6"/>
  <c r="AC69" i="6" s="1"/>
  <c r="Y83" i="6"/>
  <c r="AC83" i="6" s="1"/>
  <c r="Y97" i="6"/>
  <c r="AC97" i="6" s="1"/>
  <c r="Y108" i="6"/>
  <c r="AC108" i="6" s="1"/>
  <c r="Y116" i="6"/>
  <c r="AC116" i="6" s="1"/>
  <c r="Y124" i="6"/>
  <c r="AC124" i="6" s="1"/>
  <c r="Y132" i="6"/>
  <c r="AC132" i="6" s="1"/>
  <c r="Y140" i="6"/>
  <c r="AC140" i="6" s="1"/>
  <c r="Y150" i="6"/>
  <c r="AC150" i="6" s="1"/>
  <c r="Y158" i="6"/>
  <c r="AC158" i="6" s="1"/>
  <c r="Y166" i="6"/>
  <c r="AC166" i="6" s="1"/>
  <c r="Y174" i="6"/>
  <c r="AC174" i="6" s="1"/>
  <c r="Y182" i="6"/>
  <c r="AC182" i="6" s="1"/>
  <c r="Y190" i="6"/>
  <c r="AC190" i="6" s="1"/>
  <c r="Y198" i="6"/>
  <c r="AC198" i="6" s="1"/>
  <c r="Y206" i="6"/>
  <c r="AC206" i="6" s="1"/>
  <c r="Y214" i="6"/>
  <c r="AC214" i="6" s="1"/>
  <c r="Y222" i="6"/>
  <c r="AC222" i="6" s="1"/>
  <c r="Y231" i="6"/>
  <c r="AC231" i="6" s="1"/>
  <c r="Y239" i="6"/>
  <c r="AC239" i="6" s="1"/>
  <c r="Y249" i="6"/>
  <c r="AC249" i="6" s="1"/>
  <c r="Y257" i="6"/>
  <c r="AC257" i="6" s="1"/>
  <c r="Y265" i="6"/>
  <c r="AC265" i="6" s="1"/>
  <c r="Y273" i="6"/>
  <c r="AC273" i="6" s="1"/>
  <c r="Y281" i="6"/>
  <c r="AC281" i="6" s="1"/>
  <c r="Y289" i="6"/>
  <c r="AC289" i="6" s="1"/>
  <c r="Y297" i="6"/>
  <c r="AC297" i="6" s="1"/>
  <c r="Y305" i="6"/>
  <c r="AC305" i="6" s="1"/>
  <c r="Y313" i="6"/>
  <c r="AC313" i="6" s="1"/>
  <c r="Y321" i="6"/>
  <c r="AC321" i="6" s="1"/>
  <c r="Y330" i="6"/>
  <c r="AC330" i="6" s="1"/>
  <c r="Y338" i="6"/>
  <c r="AC338" i="6" s="1"/>
  <c r="Y346" i="6"/>
  <c r="AC346" i="6" s="1"/>
  <c r="Y355" i="6"/>
  <c r="AC355" i="6" s="1"/>
  <c r="Y364" i="6"/>
  <c r="AC364" i="6" s="1"/>
  <c r="Y372" i="6"/>
  <c r="AC372" i="6" s="1"/>
  <c r="Y380" i="6"/>
  <c r="AC380" i="6" s="1"/>
  <c r="Y388" i="6"/>
  <c r="AC388" i="6" s="1"/>
  <c r="Y396" i="6"/>
  <c r="AC396" i="6" s="1"/>
  <c r="Y405" i="6"/>
  <c r="AC405" i="6" s="1"/>
  <c r="Y413" i="6"/>
  <c r="AC413" i="6" s="1"/>
  <c r="Y421" i="6"/>
  <c r="AC421" i="6" s="1"/>
  <c r="Y429" i="6"/>
  <c r="AC429" i="6" s="1"/>
  <c r="Y437" i="6"/>
  <c r="AC437" i="6" s="1"/>
  <c r="X59" i="6"/>
  <c r="AB59" i="6" s="1"/>
  <c r="X91" i="6"/>
  <c r="AB91" i="6" s="1"/>
  <c r="X123" i="6"/>
  <c r="AB123" i="6" s="1"/>
  <c r="X157" i="6"/>
  <c r="AB157" i="6" s="1"/>
  <c r="X189" i="6"/>
  <c r="AB189" i="6" s="1"/>
  <c r="X221" i="6"/>
  <c r="AB221" i="6" s="1"/>
  <c r="X256" i="6"/>
  <c r="AB256" i="6" s="1"/>
  <c r="X288" i="6"/>
  <c r="AB288" i="6" s="1"/>
  <c r="X311" i="6"/>
  <c r="AB311" i="6" s="1"/>
  <c r="X330" i="6"/>
  <c r="AB330" i="6" s="1"/>
  <c r="X354" i="6"/>
  <c r="AB354" i="6" s="1"/>
  <c r="X378" i="6"/>
  <c r="AB378" i="6" s="1"/>
  <c r="X396" i="6"/>
  <c r="AB396" i="6" s="1"/>
  <c r="X417" i="6"/>
  <c r="AB417" i="6" s="1"/>
  <c r="X433" i="6"/>
  <c r="AB433" i="6" s="1"/>
  <c r="X449" i="6"/>
  <c r="AB449" i="6" s="1"/>
  <c r="X465" i="6"/>
  <c r="AB465" i="6" s="1"/>
  <c r="X483" i="6"/>
  <c r="AB483" i="6" s="1"/>
  <c r="X500" i="6"/>
  <c r="AB500" i="6" s="1"/>
  <c r="X516" i="6"/>
  <c r="AB516" i="6" s="1"/>
  <c r="X532" i="6"/>
  <c r="AB532" i="6" s="1"/>
  <c r="X548" i="6"/>
  <c r="AB548" i="6" s="1"/>
  <c r="X559" i="6"/>
  <c r="AB559" i="6" s="1"/>
  <c r="X573" i="6"/>
  <c r="AB573" i="6" s="1"/>
  <c r="X584" i="6"/>
  <c r="AB584" i="6" s="1"/>
  <c r="X598" i="6"/>
  <c r="AB598" i="6" s="1"/>
  <c r="X613" i="6"/>
  <c r="AB613" i="6" s="1"/>
  <c r="Y19" i="6"/>
  <c r="AC19" i="6" s="1"/>
  <c r="Y33" i="6"/>
  <c r="AC33" i="6" s="1"/>
  <c r="Y44" i="6"/>
  <c r="AC44" i="6" s="1"/>
  <c r="Y59" i="6"/>
  <c r="AC59" i="6" s="1"/>
  <c r="Y73" i="6"/>
  <c r="AC73" i="6" s="1"/>
  <c r="Y84" i="6"/>
  <c r="AC84" i="6" s="1"/>
  <c r="Y98" i="6"/>
  <c r="AC98" i="6" s="1"/>
  <c r="Y109" i="6"/>
  <c r="AC109" i="6" s="1"/>
  <c r="Y117" i="6"/>
  <c r="AC117" i="6" s="1"/>
  <c r="Y125" i="6"/>
  <c r="AC125" i="6" s="1"/>
  <c r="Y133" i="6"/>
  <c r="AC133" i="6" s="1"/>
  <c r="Y141" i="6"/>
  <c r="AC141" i="6" s="1"/>
  <c r="Y151" i="6"/>
  <c r="AC151" i="6" s="1"/>
  <c r="Y159" i="6"/>
  <c r="AC159" i="6" s="1"/>
  <c r="Y167" i="6"/>
  <c r="AC167" i="6" s="1"/>
  <c r="Y175" i="6"/>
  <c r="AC175" i="6" s="1"/>
  <c r="Y183" i="6"/>
  <c r="AC183" i="6" s="1"/>
  <c r="Y191" i="6"/>
  <c r="AC191" i="6" s="1"/>
  <c r="Y199" i="6"/>
  <c r="AC199" i="6" s="1"/>
  <c r="Y207" i="6"/>
  <c r="AC207" i="6" s="1"/>
  <c r="Y215" i="6"/>
  <c r="AC215" i="6" s="1"/>
  <c r="Y223" i="6"/>
  <c r="AC223" i="6" s="1"/>
  <c r="Y232" i="6"/>
  <c r="AC232" i="6" s="1"/>
  <c r="Y242" i="6"/>
  <c r="AC242" i="6" s="1"/>
  <c r="Y250" i="6"/>
  <c r="AC250" i="6" s="1"/>
  <c r="Y258" i="6"/>
  <c r="AC258" i="6" s="1"/>
  <c r="Y266" i="6"/>
  <c r="AC266" i="6" s="1"/>
  <c r="Y274" i="6"/>
  <c r="AC274" i="6" s="1"/>
  <c r="Y282" i="6"/>
  <c r="AC282" i="6" s="1"/>
  <c r="Y290" i="6"/>
  <c r="AC290" i="6" s="1"/>
  <c r="Y298" i="6"/>
  <c r="AC298" i="6" s="1"/>
  <c r="Y306" i="6"/>
  <c r="AC306" i="6" s="1"/>
  <c r="Y314" i="6"/>
  <c r="AC314" i="6" s="1"/>
  <c r="Y322" i="6"/>
  <c r="AC322" i="6" s="1"/>
  <c r="Y331" i="6"/>
  <c r="AC331" i="6" s="1"/>
  <c r="Y339" i="6"/>
  <c r="AC339" i="6" s="1"/>
  <c r="Y347" i="6"/>
  <c r="AC347" i="6" s="1"/>
  <c r="Y356" i="6"/>
  <c r="AC356" i="6" s="1"/>
  <c r="Y365" i="6"/>
  <c r="AC365" i="6" s="1"/>
  <c r="Y373" i="6"/>
  <c r="AC373" i="6" s="1"/>
  <c r="Y381" i="6"/>
  <c r="AC381" i="6" s="1"/>
  <c r="Y389" i="6"/>
  <c r="AC389" i="6" s="1"/>
  <c r="Y397" i="6"/>
  <c r="AC397" i="6" s="1"/>
  <c r="Y406" i="6"/>
  <c r="AC406" i="6" s="1"/>
  <c r="Y414" i="6"/>
  <c r="AC414" i="6" s="1"/>
  <c r="Y422" i="6"/>
  <c r="AC422" i="6" s="1"/>
  <c r="Y430" i="6"/>
  <c r="AC430" i="6" s="1"/>
  <c r="Y438" i="6"/>
  <c r="AC438" i="6" s="1"/>
  <c r="X18" i="6"/>
  <c r="AB18" i="6" s="1"/>
  <c r="X66" i="6"/>
  <c r="AB66" i="6" s="1"/>
  <c r="X98" i="6"/>
  <c r="AB98" i="6" s="1"/>
  <c r="X130" i="6"/>
  <c r="AB130" i="6" s="1"/>
  <c r="X164" i="6"/>
  <c r="AB164" i="6" s="1"/>
  <c r="X196" i="6"/>
  <c r="AB196" i="6" s="1"/>
  <c r="X229" i="6"/>
  <c r="AB229" i="6" s="1"/>
  <c r="X263" i="6"/>
  <c r="AB263" i="6" s="1"/>
  <c r="X289" i="6"/>
  <c r="AB289" i="6" s="1"/>
  <c r="X99" i="6"/>
  <c r="AB99" i="6" s="1"/>
  <c r="X313" i="6"/>
  <c r="AB313" i="6" s="1"/>
  <c r="X404" i="6"/>
  <c r="AB404" i="6" s="1"/>
  <c r="X468" i="6"/>
  <c r="AB468" i="6" s="1"/>
  <c r="X535" i="6"/>
  <c r="AB535" i="6" s="1"/>
  <c r="X589" i="6"/>
  <c r="AB589" i="6" s="1"/>
  <c r="Y35" i="6"/>
  <c r="AC35" i="6" s="1"/>
  <c r="Y89" i="6"/>
  <c r="AC89" i="6" s="1"/>
  <c r="Y127" i="6"/>
  <c r="AC127" i="6" s="1"/>
  <c r="Y161" i="6"/>
  <c r="AC161" i="6" s="1"/>
  <c r="Y193" i="6"/>
  <c r="AC193" i="6" s="1"/>
  <c r="Y226" i="6"/>
  <c r="AC226" i="6" s="1"/>
  <c r="Y260" i="6"/>
  <c r="AC260" i="6" s="1"/>
  <c r="Y292" i="6"/>
  <c r="AC292" i="6" s="1"/>
  <c r="Y324" i="6"/>
  <c r="AC324" i="6" s="1"/>
  <c r="Y358" i="6"/>
  <c r="AC358" i="6" s="1"/>
  <c r="Y391" i="6"/>
  <c r="AC391" i="6" s="1"/>
  <c r="Y424" i="6"/>
  <c r="AC424" i="6" s="1"/>
  <c r="Y448" i="6"/>
  <c r="AC448" i="6" s="1"/>
  <c r="Y464" i="6"/>
  <c r="AC464" i="6" s="1"/>
  <c r="Y482" i="6"/>
  <c r="AC482" i="6" s="1"/>
  <c r="Y499" i="6"/>
  <c r="AC499" i="6" s="1"/>
  <c r="Y514" i="6"/>
  <c r="AC514" i="6" s="1"/>
  <c r="Y523" i="6"/>
  <c r="AC523" i="6" s="1"/>
  <c r="Y531" i="6"/>
  <c r="AC531" i="6" s="1"/>
  <c r="Y539" i="6"/>
  <c r="AC539" i="6" s="1"/>
  <c r="Y547" i="6"/>
  <c r="AC547" i="6" s="1"/>
  <c r="Y555" i="6"/>
  <c r="AC555" i="6" s="1"/>
  <c r="Y563" i="6"/>
  <c r="AC563" i="6" s="1"/>
  <c r="Y571" i="6"/>
  <c r="AC571" i="6" s="1"/>
  <c r="Y579" i="6"/>
  <c r="AC579" i="6" s="1"/>
  <c r="Y587" i="6"/>
  <c r="AC587" i="6" s="1"/>
  <c r="Y595" i="6"/>
  <c r="AC595" i="6" s="1"/>
  <c r="Y604" i="6"/>
  <c r="AC604" i="6" s="1"/>
  <c r="Y612" i="6"/>
  <c r="AC612" i="6" s="1"/>
  <c r="Y620" i="6"/>
  <c r="AC620" i="6" s="1"/>
  <c r="Z23" i="6"/>
  <c r="AD23" i="6" s="1"/>
  <c r="Z31" i="6"/>
  <c r="AD31" i="6" s="1"/>
  <c r="Z39" i="6"/>
  <c r="AD39" i="6" s="1"/>
  <c r="Z47" i="6"/>
  <c r="AD47" i="6" s="1"/>
  <c r="Z56" i="6"/>
  <c r="AD56" i="6" s="1"/>
  <c r="Z64" i="6"/>
  <c r="AD64" i="6" s="1"/>
  <c r="Z72" i="6"/>
  <c r="AD72" i="6" s="1"/>
  <c r="Z80" i="6"/>
  <c r="AD80" i="6" s="1"/>
  <c r="Z88" i="6"/>
  <c r="AD88" i="6" s="1"/>
  <c r="Z96" i="6"/>
  <c r="AD96" i="6" s="1"/>
  <c r="Z104" i="6"/>
  <c r="AD104" i="6" s="1"/>
  <c r="Z112" i="6"/>
  <c r="AD112" i="6" s="1"/>
  <c r="Z120" i="6"/>
  <c r="AD120" i="6" s="1"/>
  <c r="Z128" i="6"/>
  <c r="AD128" i="6" s="1"/>
  <c r="Z136" i="6"/>
  <c r="AD136" i="6" s="1"/>
  <c r="Z146" i="6"/>
  <c r="AD146" i="6" s="1"/>
  <c r="Z154" i="6"/>
  <c r="AD154" i="6" s="1"/>
  <c r="Z162" i="6"/>
  <c r="AD162" i="6" s="1"/>
  <c r="Z170" i="6"/>
  <c r="AD170" i="6" s="1"/>
  <c r="Z178" i="6"/>
  <c r="AD178" i="6" s="1"/>
  <c r="Z186" i="6"/>
  <c r="AD186" i="6" s="1"/>
  <c r="Z194" i="6"/>
  <c r="AD194" i="6" s="1"/>
  <c r="Z202" i="6"/>
  <c r="AD202" i="6" s="1"/>
  <c r="Z210" i="6"/>
  <c r="AD210" i="6" s="1"/>
  <c r="Z218" i="6"/>
  <c r="AD218" i="6" s="1"/>
  <c r="Z227" i="6"/>
  <c r="AD227" i="6" s="1"/>
  <c r="Z235" i="6"/>
  <c r="AD235" i="6" s="1"/>
  <c r="Z245" i="6"/>
  <c r="AD245" i="6" s="1"/>
  <c r="Z253" i="6"/>
  <c r="AD253" i="6" s="1"/>
  <c r="Z261" i="6"/>
  <c r="AD261" i="6" s="1"/>
  <c r="Z269" i="6"/>
  <c r="AD269" i="6" s="1"/>
  <c r="Z277" i="6"/>
  <c r="AD277" i="6" s="1"/>
  <c r="Z285" i="6"/>
  <c r="AD285" i="6" s="1"/>
  <c r="Z293" i="6"/>
  <c r="AD293" i="6" s="1"/>
  <c r="Z301" i="6"/>
  <c r="AD301" i="6" s="1"/>
  <c r="Z309" i="6"/>
  <c r="AD309" i="6" s="1"/>
  <c r="Z317" i="6"/>
  <c r="AD317" i="6" s="1"/>
  <c r="Z325" i="6"/>
  <c r="AD325" i="6" s="1"/>
  <c r="Z334" i="6"/>
  <c r="AD334" i="6" s="1"/>
  <c r="Z342" i="6"/>
  <c r="AD342" i="6" s="1"/>
  <c r="Z351" i="6"/>
  <c r="AD351" i="6" s="1"/>
  <c r="Z360" i="6"/>
  <c r="AD360" i="6" s="1"/>
  <c r="Z368" i="6"/>
  <c r="AD368" i="6" s="1"/>
  <c r="Z376" i="6"/>
  <c r="AD376" i="6" s="1"/>
  <c r="Z384" i="6"/>
  <c r="AD384" i="6" s="1"/>
  <c r="Z392" i="6"/>
  <c r="AD392" i="6" s="1"/>
  <c r="Z401" i="6"/>
  <c r="AD401" i="6" s="1"/>
  <c r="Z409" i="6"/>
  <c r="AD409" i="6" s="1"/>
  <c r="Z417" i="6"/>
  <c r="AD417" i="6" s="1"/>
  <c r="X131" i="6"/>
  <c r="AB131" i="6" s="1"/>
  <c r="X336" i="6"/>
  <c r="AB336" i="6" s="1"/>
  <c r="X419" i="6"/>
  <c r="AB419" i="6" s="1"/>
  <c r="X485" i="6"/>
  <c r="AB485" i="6" s="1"/>
  <c r="X549" i="6"/>
  <c r="AB549" i="6" s="1"/>
  <c r="X599" i="6"/>
  <c r="AB599" i="6" s="1"/>
  <c r="Y48" i="6"/>
  <c r="AC48" i="6" s="1"/>
  <c r="Y99" i="6"/>
  <c r="AC99" i="6" s="1"/>
  <c r="Y134" i="6"/>
  <c r="AC134" i="6" s="1"/>
  <c r="Y168" i="6"/>
  <c r="AC168" i="6" s="1"/>
  <c r="Y200" i="6"/>
  <c r="AC200" i="6" s="1"/>
  <c r="Y233" i="6"/>
  <c r="AC233" i="6" s="1"/>
  <c r="Y267" i="6"/>
  <c r="AC267" i="6" s="1"/>
  <c r="Y299" i="6"/>
  <c r="AC299" i="6" s="1"/>
  <c r="Y332" i="6"/>
  <c r="AC332" i="6" s="1"/>
  <c r="Y366" i="6"/>
  <c r="AC366" i="6" s="1"/>
  <c r="Y398" i="6"/>
  <c r="AC398" i="6" s="1"/>
  <c r="Y431" i="6"/>
  <c r="AC431" i="6" s="1"/>
  <c r="Y453" i="6"/>
  <c r="AC453" i="6" s="1"/>
  <c r="Y469" i="6"/>
  <c r="AC469" i="6" s="1"/>
  <c r="Y487" i="6"/>
  <c r="AC487" i="6" s="1"/>
  <c r="Y504" i="6"/>
  <c r="AC504" i="6" s="1"/>
  <c r="Y515" i="6"/>
  <c r="AC515" i="6" s="1"/>
  <c r="Y524" i="6"/>
  <c r="AC524" i="6" s="1"/>
  <c r="Y532" i="6"/>
  <c r="AC532" i="6" s="1"/>
  <c r="Y540" i="6"/>
  <c r="AC540" i="6" s="1"/>
  <c r="Y548" i="6"/>
  <c r="AC548" i="6" s="1"/>
  <c r="Y556" i="6"/>
  <c r="AC556" i="6" s="1"/>
  <c r="Y564" i="6"/>
  <c r="AC564" i="6" s="1"/>
  <c r="Y572" i="6"/>
  <c r="AC572" i="6" s="1"/>
  <c r="Y580" i="6"/>
  <c r="AC580" i="6" s="1"/>
  <c r="Y588" i="6"/>
  <c r="AC588" i="6" s="1"/>
  <c r="Y596" i="6"/>
  <c r="AC596" i="6" s="1"/>
  <c r="Y605" i="6"/>
  <c r="AC605" i="6" s="1"/>
  <c r="Y613" i="6"/>
  <c r="AC613" i="6" s="1"/>
  <c r="Y621" i="6"/>
  <c r="AC621" i="6" s="1"/>
  <c r="Z24" i="6"/>
  <c r="AD24" i="6" s="1"/>
  <c r="Z32" i="6"/>
  <c r="AD32" i="6" s="1"/>
  <c r="Z40" i="6"/>
  <c r="AD40" i="6" s="1"/>
  <c r="Z48" i="6"/>
  <c r="AD48" i="6" s="1"/>
  <c r="Z57" i="6"/>
  <c r="AD57" i="6" s="1"/>
  <c r="Z65" i="6"/>
  <c r="AD65" i="6" s="1"/>
  <c r="Z73" i="6"/>
  <c r="AD73" i="6" s="1"/>
  <c r="Z81" i="6"/>
  <c r="AD81" i="6" s="1"/>
  <c r="Z89" i="6"/>
  <c r="AD89" i="6" s="1"/>
  <c r="Z97" i="6"/>
  <c r="AD97" i="6" s="1"/>
  <c r="Z105" i="6"/>
  <c r="AD105" i="6" s="1"/>
  <c r="Z113" i="6"/>
  <c r="AD113" i="6" s="1"/>
  <c r="Z121" i="6"/>
  <c r="AD121" i="6" s="1"/>
  <c r="Z129" i="6"/>
  <c r="AD129" i="6" s="1"/>
  <c r="Z137" i="6"/>
  <c r="AD137" i="6" s="1"/>
  <c r="Z147" i="6"/>
  <c r="AD147" i="6" s="1"/>
  <c r="Z155" i="6"/>
  <c r="AD155" i="6" s="1"/>
  <c r="Z163" i="6"/>
  <c r="AD163" i="6" s="1"/>
  <c r="Z171" i="6"/>
  <c r="AD171" i="6" s="1"/>
  <c r="Z179" i="6"/>
  <c r="AD179" i="6" s="1"/>
  <c r="Z187" i="6"/>
  <c r="AD187" i="6" s="1"/>
  <c r="Z195" i="6"/>
  <c r="AD195" i="6" s="1"/>
  <c r="Z203" i="6"/>
  <c r="AD203" i="6" s="1"/>
  <c r="Z211" i="6"/>
  <c r="AD211" i="6" s="1"/>
  <c r="Z219" i="6"/>
  <c r="AD219" i="6" s="1"/>
  <c r="Z228" i="6"/>
  <c r="AD228" i="6" s="1"/>
  <c r="Z236" i="6"/>
  <c r="AD236" i="6" s="1"/>
  <c r="Z246" i="6"/>
  <c r="AD246" i="6" s="1"/>
  <c r="Z254" i="6"/>
  <c r="AD254" i="6" s="1"/>
  <c r="Z262" i="6"/>
  <c r="AD262" i="6" s="1"/>
  <c r="Z270" i="6"/>
  <c r="AD270" i="6" s="1"/>
  <c r="Z278" i="6"/>
  <c r="AD278" i="6" s="1"/>
  <c r="Z286" i="6"/>
  <c r="AD286" i="6" s="1"/>
  <c r="Z294" i="6"/>
  <c r="AD294" i="6" s="1"/>
  <c r="Z302" i="6"/>
  <c r="AD302" i="6" s="1"/>
  <c r="Z310" i="6"/>
  <c r="AD310" i="6" s="1"/>
  <c r="Z318" i="6"/>
  <c r="AD318" i="6" s="1"/>
  <c r="Z326" i="6"/>
  <c r="AD326" i="6" s="1"/>
  <c r="Z335" i="6"/>
  <c r="AD335" i="6" s="1"/>
  <c r="Z343" i="6"/>
  <c r="AD343" i="6" s="1"/>
  <c r="Z352" i="6"/>
  <c r="AD352" i="6" s="1"/>
  <c r="Z361" i="6"/>
  <c r="AD361" i="6" s="1"/>
  <c r="Z369" i="6"/>
  <c r="AD369" i="6" s="1"/>
  <c r="Z377" i="6"/>
  <c r="AD377" i="6" s="1"/>
  <c r="Z385" i="6"/>
  <c r="AD385" i="6" s="1"/>
  <c r="Z393" i="6"/>
  <c r="AD393" i="6" s="1"/>
  <c r="Z402" i="6"/>
  <c r="AD402" i="6" s="1"/>
  <c r="Z410" i="6"/>
  <c r="AD410" i="6" s="1"/>
  <c r="Z418" i="6"/>
  <c r="AD418" i="6" s="1"/>
  <c r="X165" i="6"/>
  <c r="AB165" i="6" s="1"/>
  <c r="X337" i="6"/>
  <c r="AB337" i="6" s="1"/>
  <c r="X420" i="6"/>
  <c r="AB420" i="6" s="1"/>
  <c r="X486" i="6"/>
  <c r="AB486" i="6" s="1"/>
  <c r="X550" i="6"/>
  <c r="AB550" i="6" s="1"/>
  <c r="X601" i="6"/>
  <c r="AB601" i="6" s="1"/>
  <c r="Y49" i="6"/>
  <c r="AC49" i="6" s="1"/>
  <c r="Y100" i="6"/>
  <c r="AC100" i="6" s="1"/>
  <c r="Y135" i="6"/>
  <c r="AC135" i="6" s="1"/>
  <c r="Y169" i="6"/>
  <c r="AC169" i="6" s="1"/>
  <c r="Y201" i="6"/>
  <c r="AC201" i="6" s="1"/>
  <c r="Y234" i="6"/>
  <c r="AC234" i="6" s="1"/>
  <c r="Y268" i="6"/>
  <c r="AC268" i="6" s="1"/>
  <c r="Y300" i="6"/>
  <c r="AC300" i="6" s="1"/>
  <c r="Y333" i="6"/>
  <c r="AC333" i="6" s="1"/>
  <c r="Y367" i="6"/>
  <c r="AC367" i="6" s="1"/>
  <c r="Y399" i="6"/>
  <c r="AC399" i="6" s="1"/>
  <c r="Y432" i="6"/>
  <c r="AC432" i="6" s="1"/>
  <c r="Y454" i="6"/>
  <c r="AC454" i="6" s="1"/>
  <c r="Y470" i="6"/>
  <c r="AC470" i="6" s="1"/>
  <c r="Y489" i="6"/>
  <c r="AC489" i="6" s="1"/>
  <c r="Y505" i="6"/>
  <c r="AC505" i="6" s="1"/>
  <c r="Y516" i="6"/>
  <c r="AC516" i="6" s="1"/>
  <c r="Y525" i="6"/>
  <c r="AC525" i="6" s="1"/>
  <c r="Y533" i="6"/>
  <c r="AC533" i="6" s="1"/>
  <c r="Y541" i="6"/>
  <c r="AC541" i="6" s="1"/>
  <c r="Y549" i="6"/>
  <c r="AC549" i="6" s="1"/>
  <c r="Y557" i="6"/>
  <c r="AC557" i="6" s="1"/>
  <c r="Y565" i="6"/>
  <c r="AC565" i="6" s="1"/>
  <c r="Y573" i="6"/>
  <c r="AC573" i="6" s="1"/>
  <c r="Y581" i="6"/>
  <c r="AC581" i="6" s="1"/>
  <c r="Y589" i="6"/>
  <c r="AC589" i="6" s="1"/>
  <c r="Y597" i="6"/>
  <c r="AC597" i="6" s="1"/>
  <c r="Y606" i="6"/>
  <c r="AC606" i="6" s="1"/>
  <c r="Y614" i="6"/>
  <c r="AC614" i="6" s="1"/>
  <c r="Z17" i="6"/>
  <c r="AD17" i="6" s="1"/>
  <c r="Z25" i="6"/>
  <c r="AD25" i="6" s="1"/>
  <c r="Z33" i="6"/>
  <c r="AD33" i="6" s="1"/>
  <c r="Z41" i="6"/>
  <c r="AD41" i="6" s="1"/>
  <c r="Z49" i="6"/>
  <c r="AD49" i="6" s="1"/>
  <c r="Z58" i="6"/>
  <c r="AD58" i="6" s="1"/>
  <c r="Z66" i="6"/>
  <c r="AD66" i="6" s="1"/>
  <c r="Z74" i="6"/>
  <c r="AD74" i="6" s="1"/>
  <c r="Z82" i="6"/>
  <c r="AD82" i="6" s="1"/>
  <c r="Z90" i="6"/>
  <c r="AD90" i="6" s="1"/>
  <c r="Z98" i="6"/>
  <c r="AD98" i="6" s="1"/>
  <c r="Z106" i="6"/>
  <c r="AD106" i="6" s="1"/>
  <c r="Z114" i="6"/>
  <c r="AD114" i="6" s="1"/>
  <c r="Z122" i="6"/>
  <c r="AD122" i="6" s="1"/>
  <c r="Z130" i="6"/>
  <c r="AD130" i="6" s="1"/>
  <c r="Z138" i="6"/>
  <c r="AD138" i="6" s="1"/>
  <c r="Z148" i="6"/>
  <c r="AD148" i="6" s="1"/>
  <c r="Z156" i="6"/>
  <c r="AD156" i="6" s="1"/>
  <c r="Z164" i="6"/>
  <c r="AD164" i="6" s="1"/>
  <c r="Z172" i="6"/>
  <c r="AD172" i="6" s="1"/>
  <c r="Z180" i="6"/>
  <c r="AD180" i="6" s="1"/>
  <c r="Z188" i="6"/>
  <c r="AD188" i="6" s="1"/>
  <c r="Z196" i="6"/>
  <c r="AD196" i="6" s="1"/>
  <c r="Z204" i="6"/>
  <c r="AD204" i="6" s="1"/>
  <c r="Z212" i="6"/>
  <c r="AD212" i="6" s="1"/>
  <c r="Z220" i="6"/>
  <c r="AD220" i="6" s="1"/>
  <c r="Z229" i="6"/>
  <c r="AD229" i="6" s="1"/>
  <c r="Z237" i="6"/>
  <c r="AD237" i="6" s="1"/>
  <c r="Z247" i="6"/>
  <c r="AD247" i="6" s="1"/>
  <c r="Z255" i="6"/>
  <c r="AD255" i="6" s="1"/>
  <c r="Z263" i="6"/>
  <c r="AD263" i="6" s="1"/>
  <c r="Z271" i="6"/>
  <c r="AD271" i="6" s="1"/>
  <c r="Z279" i="6"/>
  <c r="AD279" i="6" s="1"/>
  <c r="Z287" i="6"/>
  <c r="AD287" i="6" s="1"/>
  <c r="Z295" i="6"/>
  <c r="AD295" i="6" s="1"/>
  <c r="Z303" i="6"/>
  <c r="AD303" i="6" s="1"/>
  <c r="Z311" i="6"/>
  <c r="AD311" i="6" s="1"/>
  <c r="Z319" i="6"/>
  <c r="AD319" i="6" s="1"/>
  <c r="Z327" i="6"/>
  <c r="AD327" i="6" s="1"/>
  <c r="Z336" i="6"/>
  <c r="AD336" i="6" s="1"/>
  <c r="Z344" i="6"/>
  <c r="AD344" i="6" s="1"/>
  <c r="Z353" i="6"/>
  <c r="AD353" i="6" s="1"/>
  <c r="Z362" i="6"/>
  <c r="AD362" i="6" s="1"/>
  <c r="Z370" i="6"/>
  <c r="AD370" i="6" s="1"/>
  <c r="Z378" i="6"/>
  <c r="AD378" i="6" s="1"/>
  <c r="Z386" i="6"/>
  <c r="AD386" i="6" s="1"/>
  <c r="Z394" i="6"/>
  <c r="AD394" i="6" s="1"/>
  <c r="Z403" i="6"/>
  <c r="AD403" i="6" s="1"/>
  <c r="Z411" i="6"/>
  <c r="AD411" i="6" s="1"/>
  <c r="Z419" i="6"/>
  <c r="AD419" i="6" s="1"/>
  <c r="X197" i="6"/>
  <c r="AB197" i="6" s="1"/>
  <c r="X355" i="6"/>
  <c r="AB355" i="6" s="1"/>
  <c r="X435" i="6"/>
  <c r="AB435" i="6" s="1"/>
  <c r="X502" i="6"/>
  <c r="AB502" i="6" s="1"/>
  <c r="X560" i="6"/>
  <c r="AB560" i="6" s="1"/>
  <c r="X614" i="6"/>
  <c r="AB614" i="6" s="1"/>
  <c r="Y60" i="6"/>
  <c r="AC60" i="6" s="1"/>
  <c r="Y110" i="6"/>
  <c r="AC110" i="6" s="1"/>
  <c r="Y144" i="6"/>
  <c r="AC144" i="6" s="1"/>
  <c r="Y176" i="6"/>
  <c r="AC176" i="6" s="1"/>
  <c r="Y208" i="6"/>
  <c r="AC208" i="6" s="1"/>
  <c r="Y243" i="6"/>
  <c r="AC243" i="6" s="1"/>
  <c r="Y275" i="6"/>
  <c r="AC275" i="6" s="1"/>
  <c r="Y307" i="6"/>
  <c r="AC307" i="6" s="1"/>
  <c r="Y340" i="6"/>
  <c r="AC340" i="6" s="1"/>
  <c r="Y374" i="6"/>
  <c r="AC374" i="6" s="1"/>
  <c r="Y407" i="6"/>
  <c r="AC407" i="6" s="1"/>
  <c r="Y439" i="6"/>
  <c r="AC439" i="6" s="1"/>
  <c r="Y455" i="6"/>
  <c r="AC455" i="6" s="1"/>
  <c r="Y471" i="6"/>
  <c r="AC471" i="6" s="1"/>
  <c r="Y490" i="6"/>
  <c r="AC490" i="6" s="1"/>
  <c r="Y506" i="6"/>
  <c r="AC506" i="6" s="1"/>
  <c r="Y517" i="6"/>
  <c r="AC517" i="6" s="1"/>
  <c r="Y526" i="6"/>
  <c r="AC526" i="6" s="1"/>
  <c r="Y534" i="6"/>
  <c r="AC534" i="6" s="1"/>
  <c r="Y542" i="6"/>
  <c r="AC542" i="6" s="1"/>
  <c r="Y550" i="6"/>
  <c r="AC550" i="6" s="1"/>
  <c r="Y558" i="6"/>
  <c r="AC558" i="6" s="1"/>
  <c r="Y566" i="6"/>
  <c r="AC566" i="6" s="1"/>
  <c r="Y574" i="6"/>
  <c r="AC574" i="6" s="1"/>
  <c r="Y582" i="6"/>
  <c r="AC582" i="6" s="1"/>
  <c r="Y590" i="6"/>
  <c r="AC590" i="6" s="1"/>
  <c r="Y598" i="6"/>
  <c r="AC598" i="6" s="1"/>
  <c r="Y607" i="6"/>
  <c r="AC607" i="6" s="1"/>
  <c r="Y615" i="6"/>
  <c r="AC615" i="6" s="1"/>
  <c r="Z18" i="6"/>
  <c r="AD18" i="6" s="1"/>
  <c r="Z26" i="6"/>
  <c r="AD26" i="6" s="1"/>
  <c r="Z34" i="6"/>
  <c r="AD34" i="6" s="1"/>
  <c r="Z42" i="6"/>
  <c r="AD42" i="6" s="1"/>
  <c r="Z50" i="6"/>
  <c r="AD50" i="6" s="1"/>
  <c r="Z59" i="6"/>
  <c r="AD59" i="6" s="1"/>
  <c r="Z67" i="6"/>
  <c r="AD67" i="6" s="1"/>
  <c r="Z75" i="6"/>
  <c r="AD75" i="6" s="1"/>
  <c r="Z83" i="6"/>
  <c r="AD83" i="6" s="1"/>
  <c r="Z91" i="6"/>
  <c r="AD91" i="6" s="1"/>
  <c r="Z99" i="6"/>
  <c r="AD99" i="6" s="1"/>
  <c r="Z107" i="6"/>
  <c r="AD107" i="6" s="1"/>
  <c r="Z115" i="6"/>
  <c r="AD115" i="6" s="1"/>
  <c r="Z123" i="6"/>
  <c r="AD123" i="6" s="1"/>
  <c r="Z131" i="6"/>
  <c r="AD131" i="6" s="1"/>
  <c r="Z139" i="6"/>
  <c r="AD139" i="6" s="1"/>
  <c r="Z149" i="6"/>
  <c r="AD149" i="6" s="1"/>
  <c r="Z157" i="6"/>
  <c r="AD157" i="6" s="1"/>
  <c r="Z165" i="6"/>
  <c r="AD165" i="6" s="1"/>
  <c r="Z173" i="6"/>
  <c r="AD173" i="6" s="1"/>
  <c r="Z181" i="6"/>
  <c r="AD181" i="6" s="1"/>
  <c r="Z189" i="6"/>
  <c r="AD189" i="6" s="1"/>
  <c r="Z197" i="6"/>
  <c r="AD197" i="6" s="1"/>
  <c r="Z205" i="6"/>
  <c r="AD205" i="6" s="1"/>
  <c r="Z213" i="6"/>
  <c r="AD213" i="6" s="1"/>
  <c r="Z221" i="6"/>
  <c r="AD221" i="6" s="1"/>
  <c r="Z230" i="6"/>
  <c r="AD230" i="6" s="1"/>
  <c r="Z238" i="6"/>
  <c r="AD238" i="6" s="1"/>
  <c r="Z248" i="6"/>
  <c r="AD248" i="6" s="1"/>
  <c r="Z256" i="6"/>
  <c r="AD256" i="6" s="1"/>
  <c r="Z264" i="6"/>
  <c r="AD264" i="6" s="1"/>
  <c r="Z272" i="6"/>
  <c r="AD272" i="6" s="1"/>
  <c r="Z280" i="6"/>
  <c r="AD280" i="6" s="1"/>
  <c r="Z288" i="6"/>
  <c r="AD288" i="6" s="1"/>
  <c r="Z296" i="6"/>
  <c r="AD296" i="6" s="1"/>
  <c r="Z304" i="6"/>
  <c r="AD304" i="6" s="1"/>
  <c r="Z312" i="6"/>
  <c r="AD312" i="6" s="1"/>
  <c r="Z320" i="6"/>
  <c r="AD320" i="6" s="1"/>
  <c r="Z328" i="6"/>
  <c r="AD328" i="6" s="1"/>
  <c r="Z337" i="6"/>
  <c r="AD337" i="6" s="1"/>
  <c r="Z345" i="6"/>
  <c r="AD345" i="6" s="1"/>
  <c r="Z354" i="6"/>
  <c r="AD354" i="6" s="1"/>
  <c r="Z363" i="6"/>
  <c r="AD363" i="6" s="1"/>
  <c r="Z371" i="6"/>
  <c r="AD371" i="6" s="1"/>
  <c r="Z379" i="6"/>
  <c r="AD379" i="6" s="1"/>
  <c r="Z387" i="6"/>
  <c r="AD387" i="6" s="1"/>
  <c r="Z395" i="6"/>
  <c r="AD395" i="6" s="1"/>
  <c r="Z404" i="6"/>
  <c r="AD404" i="6" s="1"/>
  <c r="Z412" i="6"/>
  <c r="AD412" i="6" s="1"/>
  <c r="Z420" i="6"/>
  <c r="AD420" i="6" s="1"/>
  <c r="X230" i="6"/>
  <c r="AB230" i="6" s="1"/>
  <c r="X362" i="6"/>
  <c r="AB362" i="6" s="1"/>
  <c r="X436" i="6"/>
  <c r="AB436" i="6" s="1"/>
  <c r="X503" i="6"/>
  <c r="AB503" i="6" s="1"/>
  <c r="X564" i="6"/>
  <c r="AB564" i="6" s="1"/>
  <c r="X615" i="6"/>
  <c r="AB615" i="6" s="1"/>
  <c r="Y61" i="6"/>
  <c r="AC61" i="6" s="1"/>
  <c r="Y111" i="6"/>
  <c r="AC111" i="6" s="1"/>
  <c r="Y145" i="6"/>
  <c r="AC145" i="6" s="1"/>
  <c r="Y177" i="6"/>
  <c r="AC177" i="6" s="1"/>
  <c r="Y209" i="6"/>
  <c r="AC209" i="6" s="1"/>
  <c r="Y244" i="6"/>
  <c r="AC244" i="6" s="1"/>
  <c r="Y276" i="6"/>
  <c r="AC276" i="6" s="1"/>
  <c r="Y308" i="6"/>
  <c r="AC308" i="6" s="1"/>
  <c r="Y341" i="6"/>
  <c r="AC341" i="6" s="1"/>
  <c r="Y375" i="6"/>
  <c r="AC375" i="6" s="1"/>
  <c r="Y408" i="6"/>
  <c r="AC408" i="6" s="1"/>
  <c r="Y440" i="6"/>
  <c r="AC440" i="6" s="1"/>
  <c r="Y456" i="6"/>
  <c r="AC456" i="6" s="1"/>
  <c r="Y472" i="6"/>
  <c r="AC472" i="6" s="1"/>
  <c r="Y491" i="6"/>
  <c r="AC491" i="6" s="1"/>
  <c r="Y507" i="6"/>
  <c r="AC507" i="6" s="1"/>
  <c r="Y519" i="6"/>
  <c r="AC519" i="6" s="1"/>
  <c r="Y527" i="6"/>
  <c r="AC527" i="6" s="1"/>
  <c r="Y535" i="6"/>
  <c r="AC535" i="6" s="1"/>
  <c r="Y543" i="6"/>
  <c r="AC543" i="6" s="1"/>
  <c r="Y551" i="6"/>
  <c r="AC551" i="6" s="1"/>
  <c r="Y559" i="6"/>
  <c r="AC559" i="6" s="1"/>
  <c r="Y567" i="6"/>
  <c r="AC567" i="6" s="1"/>
  <c r="Y575" i="6"/>
  <c r="AC575" i="6" s="1"/>
  <c r="Y583" i="6"/>
  <c r="AC583" i="6" s="1"/>
  <c r="Y591" i="6"/>
  <c r="AC591" i="6" s="1"/>
  <c r="Y599" i="6"/>
  <c r="AC599" i="6" s="1"/>
  <c r="Y608" i="6"/>
  <c r="AC608" i="6" s="1"/>
  <c r="Y616" i="6"/>
  <c r="AC616" i="6" s="1"/>
  <c r="Z19" i="6"/>
  <c r="AD19" i="6" s="1"/>
  <c r="Z27" i="6"/>
  <c r="AD27" i="6" s="1"/>
  <c r="Z35" i="6"/>
  <c r="AD35" i="6" s="1"/>
  <c r="Z43" i="6"/>
  <c r="AD43" i="6" s="1"/>
  <c r="Z51" i="6"/>
  <c r="AD51" i="6" s="1"/>
  <c r="Z60" i="6"/>
  <c r="AD60" i="6" s="1"/>
  <c r="Z68" i="6"/>
  <c r="AD68" i="6" s="1"/>
  <c r="Z76" i="6"/>
  <c r="AD76" i="6" s="1"/>
  <c r="Z84" i="6"/>
  <c r="AD84" i="6" s="1"/>
  <c r="Z92" i="6"/>
  <c r="AD92" i="6" s="1"/>
  <c r="Z100" i="6"/>
  <c r="AD100" i="6" s="1"/>
  <c r="Z108" i="6"/>
  <c r="AD108" i="6" s="1"/>
  <c r="Z116" i="6"/>
  <c r="AD116" i="6" s="1"/>
  <c r="Z124" i="6"/>
  <c r="AD124" i="6" s="1"/>
  <c r="Z132" i="6"/>
  <c r="AD132" i="6" s="1"/>
  <c r="Z140" i="6"/>
  <c r="AD140" i="6" s="1"/>
  <c r="Z150" i="6"/>
  <c r="AD150" i="6" s="1"/>
  <c r="Z158" i="6"/>
  <c r="AD158" i="6" s="1"/>
  <c r="Z166" i="6"/>
  <c r="AD166" i="6" s="1"/>
  <c r="Z174" i="6"/>
  <c r="AD174" i="6" s="1"/>
  <c r="Z182" i="6"/>
  <c r="AD182" i="6" s="1"/>
  <c r="Z190" i="6"/>
  <c r="AD190" i="6" s="1"/>
  <c r="Z198" i="6"/>
  <c r="AD198" i="6" s="1"/>
  <c r="Z206" i="6"/>
  <c r="AD206" i="6" s="1"/>
  <c r="Z214" i="6"/>
  <c r="AD214" i="6" s="1"/>
  <c r="Z222" i="6"/>
  <c r="AD222" i="6" s="1"/>
  <c r="Z231" i="6"/>
  <c r="AD231" i="6" s="1"/>
  <c r="Z239" i="6"/>
  <c r="AD239" i="6" s="1"/>
  <c r="Z249" i="6"/>
  <c r="AD249" i="6" s="1"/>
  <c r="Z257" i="6"/>
  <c r="AD257" i="6" s="1"/>
  <c r="Z265" i="6"/>
  <c r="AD265" i="6" s="1"/>
  <c r="Z273" i="6"/>
  <c r="AD273" i="6" s="1"/>
  <c r="Z281" i="6"/>
  <c r="AD281" i="6" s="1"/>
  <c r="Z289" i="6"/>
  <c r="AD289" i="6" s="1"/>
  <c r="Z297" i="6"/>
  <c r="AD297" i="6" s="1"/>
  <c r="Z305" i="6"/>
  <c r="AD305" i="6" s="1"/>
  <c r="Z313" i="6"/>
  <c r="AD313" i="6" s="1"/>
  <c r="Z321" i="6"/>
  <c r="AD321" i="6" s="1"/>
  <c r="Z330" i="6"/>
  <c r="AD330" i="6" s="1"/>
  <c r="Z338" i="6"/>
  <c r="AD338" i="6" s="1"/>
  <c r="Z346" i="6"/>
  <c r="AD346" i="6" s="1"/>
  <c r="Z355" i="6"/>
  <c r="AD355" i="6" s="1"/>
  <c r="Z364" i="6"/>
  <c r="AD364" i="6" s="1"/>
  <c r="Z372" i="6"/>
  <c r="AD372" i="6" s="1"/>
  <c r="Z380" i="6"/>
  <c r="AD380" i="6" s="1"/>
  <c r="Z388" i="6"/>
  <c r="AD388" i="6" s="1"/>
  <c r="Z396" i="6"/>
  <c r="AD396" i="6" s="1"/>
  <c r="Z405" i="6"/>
  <c r="AD405" i="6" s="1"/>
  <c r="Z413" i="6"/>
  <c r="AD413" i="6" s="1"/>
  <c r="Z421" i="6"/>
  <c r="AD421" i="6" s="1"/>
  <c r="X264" i="6"/>
  <c r="AB264" i="6" s="1"/>
  <c r="X379" i="6"/>
  <c r="AB379" i="6" s="1"/>
  <c r="X451" i="6"/>
  <c r="AB451" i="6" s="1"/>
  <c r="X518" i="6"/>
  <c r="AB518" i="6" s="1"/>
  <c r="X574" i="6"/>
  <c r="AB574" i="6" s="1"/>
  <c r="Y20" i="6"/>
  <c r="AC20" i="6" s="1"/>
  <c r="Y74" i="6"/>
  <c r="AC74" i="6" s="1"/>
  <c r="Y118" i="6"/>
  <c r="AC118" i="6" s="1"/>
  <c r="Y152" i="6"/>
  <c r="AC152" i="6" s="1"/>
  <c r="Y184" i="6"/>
  <c r="AC184" i="6" s="1"/>
  <c r="Y216" i="6"/>
  <c r="AC216" i="6" s="1"/>
  <c r="Y251" i="6"/>
  <c r="AC251" i="6" s="1"/>
  <c r="Y283" i="6"/>
  <c r="AC283" i="6" s="1"/>
  <c r="Y315" i="6"/>
  <c r="AC315" i="6" s="1"/>
  <c r="Y348" i="6"/>
  <c r="AC348" i="6" s="1"/>
  <c r="Y382" i="6"/>
  <c r="AC382" i="6" s="1"/>
  <c r="Y415" i="6"/>
  <c r="AC415" i="6" s="1"/>
  <c r="Y445" i="6"/>
  <c r="AC445" i="6" s="1"/>
  <c r="Y461" i="6"/>
  <c r="AC461" i="6" s="1"/>
  <c r="Y479" i="6"/>
  <c r="AC479" i="6" s="1"/>
  <c r="Y496" i="6"/>
  <c r="AC496" i="6" s="1"/>
  <c r="Y511" i="6"/>
  <c r="AC511" i="6" s="1"/>
  <c r="Y520" i="6"/>
  <c r="AC520" i="6" s="1"/>
  <c r="Y528" i="6"/>
  <c r="AC528" i="6" s="1"/>
  <c r="Y536" i="6"/>
  <c r="AC536" i="6" s="1"/>
  <c r="Y544" i="6"/>
  <c r="AC544" i="6" s="1"/>
  <c r="Y552" i="6"/>
  <c r="AC552" i="6" s="1"/>
  <c r="Y560" i="6"/>
  <c r="AC560" i="6" s="1"/>
  <c r="Y568" i="6"/>
  <c r="AC568" i="6" s="1"/>
  <c r="Y576" i="6"/>
  <c r="AC576" i="6" s="1"/>
  <c r="Y584" i="6"/>
  <c r="AC584" i="6" s="1"/>
  <c r="Y592" i="6"/>
  <c r="AC592" i="6" s="1"/>
  <c r="Y601" i="6"/>
  <c r="AC601" i="6" s="1"/>
  <c r="Y609" i="6"/>
  <c r="AC609" i="6" s="1"/>
  <c r="Y617" i="6"/>
  <c r="AC617" i="6" s="1"/>
  <c r="Z20" i="6"/>
  <c r="AD20" i="6" s="1"/>
  <c r="Z28" i="6"/>
  <c r="AD28" i="6" s="1"/>
  <c r="Z36" i="6"/>
  <c r="AD36" i="6" s="1"/>
  <c r="Z44" i="6"/>
  <c r="AD44" i="6" s="1"/>
  <c r="Z52" i="6"/>
  <c r="AD52" i="6" s="1"/>
  <c r="Z61" i="6"/>
  <c r="AD61" i="6" s="1"/>
  <c r="Z69" i="6"/>
  <c r="AD69" i="6" s="1"/>
  <c r="Z77" i="6"/>
  <c r="AD77" i="6" s="1"/>
  <c r="Z85" i="6"/>
  <c r="AD85" i="6" s="1"/>
  <c r="Z93" i="6"/>
  <c r="AD93" i="6" s="1"/>
  <c r="Z101" i="6"/>
  <c r="AD101" i="6" s="1"/>
  <c r="Z109" i="6"/>
  <c r="AD109" i="6" s="1"/>
  <c r="Z117" i="6"/>
  <c r="AD117" i="6" s="1"/>
  <c r="Z125" i="6"/>
  <c r="AD125" i="6" s="1"/>
  <c r="Z133" i="6"/>
  <c r="AD133" i="6" s="1"/>
  <c r="Z141" i="6"/>
  <c r="AD141" i="6" s="1"/>
  <c r="Z151" i="6"/>
  <c r="AD151" i="6" s="1"/>
  <c r="Z159" i="6"/>
  <c r="AD159" i="6" s="1"/>
  <c r="Z167" i="6"/>
  <c r="AD167" i="6" s="1"/>
  <c r="Z175" i="6"/>
  <c r="AD175" i="6" s="1"/>
  <c r="Z183" i="6"/>
  <c r="AD183" i="6" s="1"/>
  <c r="Z191" i="6"/>
  <c r="AD191" i="6" s="1"/>
  <c r="Z199" i="6"/>
  <c r="AD199" i="6" s="1"/>
  <c r="Z207" i="6"/>
  <c r="AD207" i="6" s="1"/>
  <c r="Z215" i="6"/>
  <c r="AD215" i="6" s="1"/>
  <c r="Z223" i="6"/>
  <c r="AD223" i="6" s="1"/>
  <c r="Z232" i="6"/>
  <c r="AD232" i="6" s="1"/>
  <c r="Z242" i="6"/>
  <c r="AD242" i="6" s="1"/>
  <c r="Z250" i="6"/>
  <c r="AD250" i="6" s="1"/>
  <c r="Z258" i="6"/>
  <c r="AD258" i="6" s="1"/>
  <c r="Z266" i="6"/>
  <c r="AD266" i="6" s="1"/>
  <c r="Z274" i="6"/>
  <c r="AD274" i="6" s="1"/>
  <c r="Z282" i="6"/>
  <c r="AD282" i="6" s="1"/>
  <c r="Z290" i="6"/>
  <c r="AD290" i="6" s="1"/>
  <c r="Z298" i="6"/>
  <c r="AD298" i="6" s="1"/>
  <c r="Z306" i="6"/>
  <c r="AD306" i="6" s="1"/>
  <c r="Z314" i="6"/>
  <c r="AD314" i="6" s="1"/>
  <c r="Z322" i="6"/>
  <c r="AD322" i="6" s="1"/>
  <c r="Z331" i="6"/>
  <c r="AD331" i="6" s="1"/>
  <c r="Z339" i="6"/>
  <c r="AD339" i="6" s="1"/>
  <c r="Z347" i="6"/>
  <c r="AD347" i="6" s="1"/>
  <c r="Z356" i="6"/>
  <c r="AD356" i="6" s="1"/>
  <c r="Z365" i="6"/>
  <c r="AD365" i="6" s="1"/>
  <c r="Z373" i="6"/>
  <c r="AD373" i="6" s="1"/>
  <c r="Z381" i="6"/>
  <c r="AD381" i="6" s="1"/>
  <c r="Z389" i="6"/>
  <c r="AD389" i="6" s="1"/>
  <c r="Z397" i="6"/>
  <c r="AD397" i="6" s="1"/>
  <c r="Z406" i="6"/>
  <c r="AD406" i="6" s="1"/>
  <c r="Z414" i="6"/>
  <c r="AD414" i="6" s="1"/>
  <c r="X26" i="6"/>
  <c r="AB26" i="6" s="1"/>
  <c r="X295" i="6"/>
  <c r="AB295" i="6" s="1"/>
  <c r="X380" i="6"/>
  <c r="AB380" i="6" s="1"/>
  <c r="X452" i="6"/>
  <c r="AB452" i="6" s="1"/>
  <c r="X519" i="6"/>
  <c r="AB519" i="6" s="1"/>
  <c r="X575" i="6"/>
  <c r="AB575" i="6" s="1"/>
  <c r="Y24" i="6"/>
  <c r="AC24" i="6" s="1"/>
  <c r="Y75" i="6"/>
  <c r="AC75" i="6" s="1"/>
  <c r="Y119" i="6"/>
  <c r="AC119" i="6" s="1"/>
  <c r="Y153" i="6"/>
  <c r="AC153" i="6" s="1"/>
  <c r="Y185" i="6"/>
  <c r="AC185" i="6" s="1"/>
  <c r="Y217" i="6"/>
  <c r="AC217" i="6" s="1"/>
  <c r="Y252" i="6"/>
  <c r="AC252" i="6" s="1"/>
  <c r="Y284" i="6"/>
  <c r="AC284" i="6" s="1"/>
  <c r="Y316" i="6"/>
  <c r="AC316" i="6" s="1"/>
  <c r="Y350" i="6"/>
  <c r="AC350" i="6" s="1"/>
  <c r="Y383" i="6"/>
  <c r="AC383" i="6" s="1"/>
  <c r="Y416" i="6"/>
  <c r="AC416" i="6" s="1"/>
  <c r="Y446" i="6"/>
  <c r="AC446" i="6" s="1"/>
  <c r="Y462" i="6"/>
  <c r="AC462" i="6" s="1"/>
  <c r="Y480" i="6"/>
  <c r="AC480" i="6" s="1"/>
  <c r="Y497" i="6"/>
  <c r="AC497" i="6" s="1"/>
  <c r="Y512" i="6"/>
  <c r="AC512" i="6" s="1"/>
  <c r="Y521" i="6"/>
  <c r="AC521" i="6" s="1"/>
  <c r="Y529" i="6"/>
  <c r="AC529" i="6" s="1"/>
  <c r="Y537" i="6"/>
  <c r="AC537" i="6" s="1"/>
  <c r="Y545" i="6"/>
  <c r="AC545" i="6" s="1"/>
  <c r="Y553" i="6"/>
  <c r="AC553" i="6" s="1"/>
  <c r="Y561" i="6"/>
  <c r="AC561" i="6" s="1"/>
  <c r="Y569" i="6"/>
  <c r="AC569" i="6" s="1"/>
  <c r="Y577" i="6"/>
  <c r="AC577" i="6" s="1"/>
  <c r="Y585" i="6"/>
  <c r="AC585" i="6" s="1"/>
  <c r="Y593" i="6"/>
  <c r="AC593" i="6" s="1"/>
  <c r="Y602" i="6"/>
  <c r="AC602" i="6" s="1"/>
  <c r="Y610" i="6"/>
  <c r="AC610" i="6" s="1"/>
  <c r="Y618" i="6"/>
  <c r="AC618" i="6" s="1"/>
  <c r="Z21" i="6"/>
  <c r="AD21" i="6" s="1"/>
  <c r="Z29" i="6"/>
  <c r="AD29" i="6" s="1"/>
  <c r="Z37" i="6"/>
  <c r="AD37" i="6" s="1"/>
  <c r="Z45" i="6"/>
  <c r="AD45" i="6" s="1"/>
  <c r="Z53" i="6"/>
  <c r="AD53" i="6" s="1"/>
  <c r="Z62" i="6"/>
  <c r="AD62" i="6" s="1"/>
  <c r="Z70" i="6"/>
  <c r="AD70" i="6" s="1"/>
  <c r="Z78" i="6"/>
  <c r="AD78" i="6" s="1"/>
  <c r="Z86" i="6"/>
  <c r="AD86" i="6" s="1"/>
  <c r="Z94" i="6"/>
  <c r="AD94" i="6" s="1"/>
  <c r="Z102" i="6"/>
  <c r="AD102" i="6" s="1"/>
  <c r="Z110" i="6"/>
  <c r="AD110" i="6" s="1"/>
  <c r="Z118" i="6"/>
  <c r="AD118" i="6" s="1"/>
  <c r="Z126" i="6"/>
  <c r="AD126" i="6" s="1"/>
  <c r="Z134" i="6"/>
  <c r="AD134" i="6" s="1"/>
  <c r="Z144" i="6"/>
  <c r="AD144" i="6" s="1"/>
  <c r="Z152" i="6"/>
  <c r="AD152" i="6" s="1"/>
  <c r="Z160" i="6"/>
  <c r="AD160" i="6" s="1"/>
  <c r="Z168" i="6"/>
  <c r="AD168" i="6" s="1"/>
  <c r="Z176" i="6"/>
  <c r="AD176" i="6" s="1"/>
  <c r="Z184" i="6"/>
  <c r="AD184" i="6" s="1"/>
  <c r="Z192" i="6"/>
  <c r="AD192" i="6" s="1"/>
  <c r="Z200" i="6"/>
  <c r="AD200" i="6" s="1"/>
  <c r="Z208" i="6"/>
  <c r="AD208" i="6" s="1"/>
  <c r="Z216" i="6"/>
  <c r="AD216" i="6" s="1"/>
  <c r="Z225" i="6"/>
  <c r="AD225" i="6" s="1"/>
  <c r="Z233" i="6"/>
  <c r="AD233" i="6" s="1"/>
  <c r="Z243" i="6"/>
  <c r="AD243" i="6" s="1"/>
  <c r="Z251" i="6"/>
  <c r="AD251" i="6" s="1"/>
  <c r="Z259" i="6"/>
  <c r="AD259" i="6" s="1"/>
  <c r="Z267" i="6"/>
  <c r="AD267" i="6" s="1"/>
  <c r="Z275" i="6"/>
  <c r="AD275" i="6" s="1"/>
  <c r="Z283" i="6"/>
  <c r="AD283" i="6" s="1"/>
  <c r="Z291" i="6"/>
  <c r="AD291" i="6" s="1"/>
  <c r="Z299" i="6"/>
  <c r="AD299" i="6" s="1"/>
  <c r="Z307" i="6"/>
  <c r="AD307" i="6" s="1"/>
  <c r="Z315" i="6"/>
  <c r="AD315" i="6" s="1"/>
  <c r="Z323" i="6"/>
  <c r="AD323" i="6" s="1"/>
  <c r="Z332" i="6"/>
  <c r="AD332" i="6" s="1"/>
  <c r="Z340" i="6"/>
  <c r="AD340" i="6" s="1"/>
  <c r="Z348" i="6"/>
  <c r="AD348" i="6" s="1"/>
  <c r="Z357" i="6"/>
  <c r="AD357" i="6" s="1"/>
  <c r="Z366" i="6"/>
  <c r="AD366" i="6" s="1"/>
  <c r="Z374" i="6"/>
  <c r="AD374" i="6" s="1"/>
  <c r="Z382" i="6"/>
  <c r="AD382" i="6" s="1"/>
  <c r="Z390" i="6"/>
  <c r="AD390" i="6" s="1"/>
  <c r="Z398" i="6"/>
  <c r="AD398" i="6" s="1"/>
  <c r="Z407" i="6"/>
  <c r="AD407" i="6" s="1"/>
  <c r="Z415" i="6"/>
  <c r="AD415" i="6" s="1"/>
  <c r="X403" i="6"/>
  <c r="AB403" i="6" s="1"/>
  <c r="Y192" i="6"/>
  <c r="AC192" i="6" s="1"/>
  <c r="Y447" i="6"/>
  <c r="AC447" i="6" s="1"/>
  <c r="Y546" i="6"/>
  <c r="AC546" i="6" s="1"/>
  <c r="Y611" i="6"/>
  <c r="AC611" i="6" s="1"/>
  <c r="Z71" i="6"/>
  <c r="AD71" i="6" s="1"/>
  <c r="Z135" i="6"/>
  <c r="AD135" i="6" s="1"/>
  <c r="Z201" i="6"/>
  <c r="AD201" i="6" s="1"/>
  <c r="Z268" i="6"/>
  <c r="AD268" i="6" s="1"/>
  <c r="Z333" i="6"/>
  <c r="AD333" i="6" s="1"/>
  <c r="Z399" i="6"/>
  <c r="AD399" i="6" s="1"/>
  <c r="Z427" i="6"/>
  <c r="AD427" i="6" s="1"/>
  <c r="Z435" i="6"/>
  <c r="AD435" i="6" s="1"/>
  <c r="Z443" i="6"/>
  <c r="AD443" i="6" s="1"/>
  <c r="Z451" i="6"/>
  <c r="AD451" i="6" s="1"/>
  <c r="Z459" i="6"/>
  <c r="AD459" i="6" s="1"/>
  <c r="Z467" i="6"/>
  <c r="AD467" i="6" s="1"/>
  <c r="Z475" i="6"/>
  <c r="AD475" i="6" s="1"/>
  <c r="Z485" i="6"/>
  <c r="AD485" i="6" s="1"/>
  <c r="Z494" i="6"/>
  <c r="AD494" i="6" s="1"/>
  <c r="Z502" i="6"/>
  <c r="AD502" i="6" s="1"/>
  <c r="Z510" i="6"/>
  <c r="AD510" i="6" s="1"/>
  <c r="Z518" i="6"/>
  <c r="AD518" i="6" s="1"/>
  <c r="Z526" i="6"/>
  <c r="AD526" i="6" s="1"/>
  <c r="Z534" i="6"/>
  <c r="AD534" i="6" s="1"/>
  <c r="Z542" i="6"/>
  <c r="AD542" i="6" s="1"/>
  <c r="Z550" i="6"/>
  <c r="AD550" i="6" s="1"/>
  <c r="Z558" i="6"/>
  <c r="AD558" i="6" s="1"/>
  <c r="Z566" i="6"/>
  <c r="AD566" i="6" s="1"/>
  <c r="Z574" i="6"/>
  <c r="AD574" i="6" s="1"/>
  <c r="Z582" i="6"/>
  <c r="AD582" i="6" s="1"/>
  <c r="Z590" i="6"/>
  <c r="AD590" i="6" s="1"/>
  <c r="Z598" i="6"/>
  <c r="AD598" i="6" s="1"/>
  <c r="Z607" i="6"/>
  <c r="AD607" i="6" s="1"/>
  <c r="Z615" i="6"/>
  <c r="AD615" i="6" s="1"/>
  <c r="AA18" i="6"/>
  <c r="AE18" i="6" s="1"/>
  <c r="AA26" i="6"/>
  <c r="AE26" i="6" s="1"/>
  <c r="AA34" i="6"/>
  <c r="AE34" i="6" s="1"/>
  <c r="AA42" i="6"/>
  <c r="AE42" i="6" s="1"/>
  <c r="AA50" i="6"/>
  <c r="AE50" i="6" s="1"/>
  <c r="AA59" i="6"/>
  <c r="AE59" i="6" s="1"/>
  <c r="AA67" i="6"/>
  <c r="AE67" i="6" s="1"/>
  <c r="AA75" i="6"/>
  <c r="AE75" i="6" s="1"/>
  <c r="AA83" i="6"/>
  <c r="AE83" i="6" s="1"/>
  <c r="AA91" i="6"/>
  <c r="AE91" i="6" s="1"/>
  <c r="AA99" i="6"/>
  <c r="AE99" i="6" s="1"/>
  <c r="AA107" i="6"/>
  <c r="AE107" i="6" s="1"/>
  <c r="AA115" i="6"/>
  <c r="AE115" i="6" s="1"/>
  <c r="AA123" i="6"/>
  <c r="AE123" i="6" s="1"/>
  <c r="AA131" i="6"/>
  <c r="AE131" i="6" s="1"/>
  <c r="AA139" i="6"/>
  <c r="AE139" i="6" s="1"/>
  <c r="AA149" i="6"/>
  <c r="AE149" i="6" s="1"/>
  <c r="AA157" i="6"/>
  <c r="AE157" i="6" s="1"/>
  <c r="AA165" i="6"/>
  <c r="AE165" i="6" s="1"/>
  <c r="AA173" i="6"/>
  <c r="AE173" i="6" s="1"/>
  <c r="AA181" i="6"/>
  <c r="AE181" i="6" s="1"/>
  <c r="AA189" i="6"/>
  <c r="AE189" i="6" s="1"/>
  <c r="AA197" i="6"/>
  <c r="AE197" i="6" s="1"/>
  <c r="AA205" i="6"/>
  <c r="AE205" i="6" s="1"/>
  <c r="AA213" i="6"/>
  <c r="AE213" i="6" s="1"/>
  <c r="AA221" i="6"/>
  <c r="AE221" i="6" s="1"/>
  <c r="AA230" i="6"/>
  <c r="AE230" i="6" s="1"/>
  <c r="AA238" i="6"/>
  <c r="AE238" i="6" s="1"/>
  <c r="AA248" i="6"/>
  <c r="AE248" i="6" s="1"/>
  <c r="AA256" i="6"/>
  <c r="AE256" i="6" s="1"/>
  <c r="AA264" i="6"/>
  <c r="AE264" i="6" s="1"/>
  <c r="AA272" i="6"/>
  <c r="AE272" i="6" s="1"/>
  <c r="AA280" i="6"/>
  <c r="AE280" i="6" s="1"/>
  <c r="AA288" i="6"/>
  <c r="AE288" i="6" s="1"/>
  <c r="AA296" i="6"/>
  <c r="AE296" i="6" s="1"/>
  <c r="AA304" i="6"/>
  <c r="AE304" i="6" s="1"/>
  <c r="AA312" i="6"/>
  <c r="AE312" i="6" s="1"/>
  <c r="AA320" i="6"/>
  <c r="AE320" i="6" s="1"/>
  <c r="AA328" i="6"/>
  <c r="AE328" i="6" s="1"/>
  <c r="AA337" i="6"/>
  <c r="AE337" i="6" s="1"/>
  <c r="AA345" i="6"/>
  <c r="AE345" i="6" s="1"/>
  <c r="AA354" i="6"/>
  <c r="AE354" i="6" s="1"/>
  <c r="AA363" i="6"/>
  <c r="AE363" i="6" s="1"/>
  <c r="AA371" i="6"/>
  <c r="AE371" i="6" s="1"/>
  <c r="AA379" i="6"/>
  <c r="AE379" i="6" s="1"/>
  <c r="AA387" i="6"/>
  <c r="AE387" i="6" s="1"/>
  <c r="AA395" i="6"/>
  <c r="AE395" i="6" s="1"/>
  <c r="AA404" i="6"/>
  <c r="AE404" i="6" s="1"/>
  <c r="AA412" i="6"/>
  <c r="AE412" i="6" s="1"/>
  <c r="AA420" i="6"/>
  <c r="AE420" i="6" s="1"/>
  <c r="X467" i="6"/>
  <c r="AB467" i="6" s="1"/>
  <c r="Y225" i="6"/>
  <c r="AC225" i="6" s="1"/>
  <c r="Y463" i="6"/>
  <c r="AC463" i="6" s="1"/>
  <c r="Y554" i="6"/>
  <c r="AC554" i="6" s="1"/>
  <c r="Y619" i="6"/>
  <c r="AC619" i="6" s="1"/>
  <c r="Z79" i="6"/>
  <c r="AD79" i="6" s="1"/>
  <c r="Z145" i="6"/>
  <c r="AD145" i="6" s="1"/>
  <c r="Z209" i="6"/>
  <c r="AD209" i="6" s="1"/>
  <c r="Z276" i="6"/>
  <c r="AD276" i="6" s="1"/>
  <c r="Z341" i="6"/>
  <c r="AD341" i="6" s="1"/>
  <c r="Z408" i="6"/>
  <c r="AD408" i="6" s="1"/>
  <c r="Z428" i="6"/>
  <c r="AD428" i="6" s="1"/>
  <c r="Z436" i="6"/>
  <c r="AD436" i="6" s="1"/>
  <c r="Z444" i="6"/>
  <c r="AD444" i="6" s="1"/>
  <c r="Z452" i="6"/>
  <c r="AD452" i="6" s="1"/>
  <c r="Z460" i="6"/>
  <c r="AD460" i="6" s="1"/>
  <c r="Z468" i="6"/>
  <c r="AD468" i="6" s="1"/>
  <c r="Z478" i="6"/>
  <c r="AD478" i="6" s="1"/>
  <c r="Z486" i="6"/>
  <c r="AD486" i="6" s="1"/>
  <c r="Z495" i="6"/>
  <c r="AD495" i="6" s="1"/>
  <c r="Z503" i="6"/>
  <c r="AD503" i="6" s="1"/>
  <c r="Z511" i="6"/>
  <c r="AD511" i="6" s="1"/>
  <c r="Z519" i="6"/>
  <c r="AD519" i="6" s="1"/>
  <c r="Z527" i="6"/>
  <c r="AD527" i="6" s="1"/>
  <c r="Z535" i="6"/>
  <c r="AD535" i="6" s="1"/>
  <c r="Z543" i="6"/>
  <c r="AD543" i="6" s="1"/>
  <c r="Z551" i="6"/>
  <c r="AD551" i="6" s="1"/>
  <c r="Z559" i="6"/>
  <c r="AD559" i="6" s="1"/>
  <c r="Z567" i="6"/>
  <c r="AD567" i="6" s="1"/>
  <c r="Z575" i="6"/>
  <c r="AD575" i="6" s="1"/>
  <c r="Z583" i="6"/>
  <c r="AD583" i="6" s="1"/>
  <c r="Z591" i="6"/>
  <c r="AD591" i="6" s="1"/>
  <c r="Z599" i="6"/>
  <c r="AD599" i="6" s="1"/>
  <c r="Z608" i="6"/>
  <c r="AD608" i="6" s="1"/>
  <c r="Z616" i="6"/>
  <c r="AD616" i="6" s="1"/>
  <c r="AA19" i="6"/>
  <c r="AE19" i="6" s="1"/>
  <c r="AA27" i="6"/>
  <c r="AE27" i="6" s="1"/>
  <c r="AA35" i="6"/>
  <c r="AE35" i="6" s="1"/>
  <c r="AA43" i="6"/>
  <c r="AE43" i="6" s="1"/>
  <c r="AA51" i="6"/>
  <c r="AE51" i="6" s="1"/>
  <c r="AA60" i="6"/>
  <c r="AE60" i="6" s="1"/>
  <c r="AA68" i="6"/>
  <c r="AE68" i="6" s="1"/>
  <c r="AA76" i="6"/>
  <c r="AE76" i="6" s="1"/>
  <c r="AA84" i="6"/>
  <c r="AE84" i="6" s="1"/>
  <c r="AA92" i="6"/>
  <c r="AE92" i="6" s="1"/>
  <c r="AA100" i="6"/>
  <c r="AE100" i="6" s="1"/>
  <c r="AA108" i="6"/>
  <c r="AE108" i="6" s="1"/>
  <c r="AA116" i="6"/>
  <c r="AE116" i="6" s="1"/>
  <c r="AA124" i="6"/>
  <c r="AE124" i="6" s="1"/>
  <c r="AA132" i="6"/>
  <c r="AE132" i="6" s="1"/>
  <c r="AA140" i="6"/>
  <c r="AE140" i="6" s="1"/>
  <c r="AA150" i="6"/>
  <c r="AE150" i="6" s="1"/>
  <c r="AA158" i="6"/>
  <c r="AE158" i="6" s="1"/>
  <c r="AA166" i="6"/>
  <c r="AE166" i="6" s="1"/>
  <c r="AA174" i="6"/>
  <c r="AE174" i="6" s="1"/>
  <c r="AA182" i="6"/>
  <c r="AE182" i="6" s="1"/>
  <c r="AA190" i="6"/>
  <c r="AE190" i="6" s="1"/>
  <c r="AA198" i="6"/>
  <c r="AE198" i="6" s="1"/>
  <c r="AA206" i="6"/>
  <c r="AE206" i="6" s="1"/>
  <c r="AA214" i="6"/>
  <c r="AE214" i="6" s="1"/>
  <c r="AA222" i="6"/>
  <c r="AE222" i="6" s="1"/>
  <c r="AA231" i="6"/>
  <c r="AE231" i="6" s="1"/>
  <c r="AA239" i="6"/>
  <c r="AE239" i="6" s="1"/>
  <c r="AA249" i="6"/>
  <c r="AE249" i="6" s="1"/>
  <c r="AA257" i="6"/>
  <c r="AE257" i="6" s="1"/>
  <c r="AA265" i="6"/>
  <c r="AE265" i="6" s="1"/>
  <c r="AA273" i="6"/>
  <c r="AE273" i="6" s="1"/>
  <c r="AA281" i="6"/>
  <c r="AE281" i="6" s="1"/>
  <c r="AA289" i="6"/>
  <c r="AE289" i="6" s="1"/>
  <c r="AA297" i="6"/>
  <c r="AE297" i="6" s="1"/>
  <c r="AA305" i="6"/>
  <c r="AE305" i="6" s="1"/>
  <c r="AA313" i="6"/>
  <c r="AE313" i="6" s="1"/>
  <c r="AA321" i="6"/>
  <c r="AE321" i="6" s="1"/>
  <c r="AA330" i="6"/>
  <c r="AE330" i="6" s="1"/>
  <c r="AA338" i="6"/>
  <c r="AE338" i="6" s="1"/>
  <c r="AA346" i="6"/>
  <c r="AE346" i="6" s="1"/>
  <c r="AA355" i="6"/>
  <c r="AE355" i="6" s="1"/>
  <c r="AA364" i="6"/>
  <c r="AE364" i="6" s="1"/>
  <c r="AA372" i="6"/>
  <c r="AE372" i="6" s="1"/>
  <c r="AA380" i="6"/>
  <c r="AE380" i="6" s="1"/>
  <c r="AA388" i="6"/>
  <c r="AE388" i="6" s="1"/>
  <c r="AA396" i="6"/>
  <c r="AE396" i="6" s="1"/>
  <c r="AA405" i="6"/>
  <c r="AE405" i="6" s="1"/>
  <c r="AA413" i="6"/>
  <c r="AE413" i="6" s="1"/>
  <c r="AA421" i="6"/>
  <c r="AE421" i="6" s="1"/>
  <c r="AA429" i="6"/>
  <c r="AE429" i="6" s="1"/>
  <c r="AA437" i="6"/>
  <c r="AE437" i="6" s="1"/>
  <c r="X534" i="6"/>
  <c r="AB534" i="6" s="1"/>
  <c r="Y259" i="6"/>
  <c r="AC259" i="6" s="1"/>
  <c r="Y481" i="6"/>
  <c r="AC481" i="6" s="1"/>
  <c r="Y562" i="6"/>
  <c r="AC562" i="6" s="1"/>
  <c r="Z22" i="6"/>
  <c r="AD22" i="6" s="1"/>
  <c r="Z87" i="6"/>
  <c r="AD87" i="6" s="1"/>
  <c r="Z153" i="6"/>
  <c r="AD153" i="6" s="1"/>
  <c r="Z217" i="6"/>
  <c r="AD217" i="6" s="1"/>
  <c r="Z284" i="6"/>
  <c r="AD284" i="6" s="1"/>
  <c r="Z350" i="6"/>
  <c r="AD350" i="6" s="1"/>
  <c r="Z416" i="6"/>
  <c r="AD416" i="6" s="1"/>
  <c r="Z429" i="6"/>
  <c r="AD429" i="6" s="1"/>
  <c r="Z437" i="6"/>
  <c r="AD437" i="6" s="1"/>
  <c r="Z445" i="6"/>
  <c r="AD445" i="6" s="1"/>
  <c r="Z453" i="6"/>
  <c r="AD453" i="6" s="1"/>
  <c r="Z461" i="6"/>
  <c r="AD461" i="6" s="1"/>
  <c r="Z469" i="6"/>
  <c r="AD469" i="6" s="1"/>
  <c r="Z479" i="6"/>
  <c r="AD479" i="6" s="1"/>
  <c r="Z487" i="6"/>
  <c r="AD487" i="6" s="1"/>
  <c r="Z496" i="6"/>
  <c r="AD496" i="6" s="1"/>
  <c r="Z504" i="6"/>
  <c r="AD504" i="6" s="1"/>
  <c r="Z512" i="6"/>
  <c r="AD512" i="6" s="1"/>
  <c r="Z520" i="6"/>
  <c r="AD520" i="6" s="1"/>
  <c r="Z528" i="6"/>
  <c r="AD528" i="6" s="1"/>
  <c r="Z536" i="6"/>
  <c r="AD536" i="6" s="1"/>
  <c r="Z544" i="6"/>
  <c r="AD544" i="6" s="1"/>
  <c r="Z552" i="6"/>
  <c r="AD552" i="6" s="1"/>
  <c r="Z560" i="6"/>
  <c r="AD560" i="6" s="1"/>
  <c r="Z568" i="6"/>
  <c r="AD568" i="6" s="1"/>
  <c r="Z576" i="6"/>
  <c r="AD576" i="6" s="1"/>
  <c r="Z584" i="6"/>
  <c r="AD584" i="6" s="1"/>
  <c r="Z592" i="6"/>
  <c r="AD592" i="6" s="1"/>
  <c r="Z601" i="6"/>
  <c r="AD601" i="6" s="1"/>
  <c r="Z609" i="6"/>
  <c r="AD609" i="6" s="1"/>
  <c r="Z617" i="6"/>
  <c r="AD617" i="6" s="1"/>
  <c r="AA20" i="6"/>
  <c r="AE20" i="6" s="1"/>
  <c r="AA28" i="6"/>
  <c r="AE28" i="6" s="1"/>
  <c r="AA36" i="6"/>
  <c r="AE36" i="6" s="1"/>
  <c r="AA44" i="6"/>
  <c r="AE44" i="6" s="1"/>
  <c r="AA52" i="6"/>
  <c r="AE52" i="6" s="1"/>
  <c r="AA61" i="6"/>
  <c r="AE61" i="6" s="1"/>
  <c r="AA69" i="6"/>
  <c r="AE69" i="6" s="1"/>
  <c r="AA77" i="6"/>
  <c r="AE77" i="6" s="1"/>
  <c r="AA85" i="6"/>
  <c r="AE85" i="6" s="1"/>
  <c r="AA93" i="6"/>
  <c r="AE93" i="6" s="1"/>
  <c r="AA101" i="6"/>
  <c r="AE101" i="6" s="1"/>
  <c r="AA109" i="6"/>
  <c r="AE109" i="6" s="1"/>
  <c r="AA117" i="6"/>
  <c r="AE117" i="6" s="1"/>
  <c r="AA125" i="6"/>
  <c r="AE125" i="6" s="1"/>
  <c r="AA133" i="6"/>
  <c r="AE133" i="6" s="1"/>
  <c r="AA141" i="6"/>
  <c r="AE141" i="6" s="1"/>
  <c r="AA151" i="6"/>
  <c r="AE151" i="6" s="1"/>
  <c r="AA159" i="6"/>
  <c r="AE159" i="6" s="1"/>
  <c r="AA167" i="6"/>
  <c r="AE167" i="6" s="1"/>
  <c r="AA175" i="6"/>
  <c r="AE175" i="6" s="1"/>
  <c r="AA183" i="6"/>
  <c r="AE183" i="6" s="1"/>
  <c r="AA191" i="6"/>
  <c r="AE191" i="6" s="1"/>
  <c r="AA199" i="6"/>
  <c r="AE199" i="6" s="1"/>
  <c r="AA207" i="6"/>
  <c r="AE207" i="6" s="1"/>
  <c r="AA215" i="6"/>
  <c r="AE215" i="6" s="1"/>
  <c r="AA223" i="6"/>
  <c r="AE223" i="6" s="1"/>
  <c r="AA232" i="6"/>
  <c r="AE232" i="6" s="1"/>
  <c r="AA242" i="6"/>
  <c r="AE242" i="6" s="1"/>
  <c r="AA250" i="6"/>
  <c r="AE250" i="6" s="1"/>
  <c r="AA258" i="6"/>
  <c r="AE258" i="6" s="1"/>
  <c r="AA266" i="6"/>
  <c r="AE266" i="6" s="1"/>
  <c r="AA274" i="6"/>
  <c r="AE274" i="6" s="1"/>
  <c r="AA282" i="6"/>
  <c r="AE282" i="6" s="1"/>
  <c r="AA290" i="6"/>
  <c r="AE290" i="6" s="1"/>
  <c r="AA298" i="6"/>
  <c r="AE298" i="6" s="1"/>
  <c r="AA306" i="6"/>
  <c r="AE306" i="6" s="1"/>
  <c r="AA314" i="6"/>
  <c r="AE314" i="6" s="1"/>
  <c r="AA322" i="6"/>
  <c r="AE322" i="6" s="1"/>
  <c r="AA331" i="6"/>
  <c r="AE331" i="6" s="1"/>
  <c r="AA339" i="6"/>
  <c r="AE339" i="6" s="1"/>
  <c r="AA347" i="6"/>
  <c r="AE347" i="6" s="1"/>
  <c r="AA356" i="6"/>
  <c r="AE356" i="6" s="1"/>
  <c r="AA365" i="6"/>
  <c r="AE365" i="6" s="1"/>
  <c r="AA373" i="6"/>
  <c r="AE373" i="6" s="1"/>
  <c r="AA381" i="6"/>
  <c r="AE381" i="6" s="1"/>
  <c r="AA389" i="6"/>
  <c r="AE389" i="6" s="1"/>
  <c r="AA397" i="6"/>
  <c r="AE397" i="6" s="1"/>
  <c r="AA406" i="6"/>
  <c r="AE406" i="6" s="1"/>
  <c r="AA414" i="6"/>
  <c r="AE414" i="6" s="1"/>
  <c r="AA422" i="6"/>
  <c r="AE422" i="6" s="1"/>
  <c r="X588" i="6"/>
  <c r="AB588" i="6" s="1"/>
  <c r="Y291" i="6"/>
  <c r="AC291" i="6" s="1"/>
  <c r="Y498" i="6"/>
  <c r="AC498" i="6" s="1"/>
  <c r="Y570" i="6"/>
  <c r="AC570" i="6" s="1"/>
  <c r="Z30" i="6"/>
  <c r="AD30" i="6" s="1"/>
  <c r="Z95" i="6"/>
  <c r="AD95" i="6" s="1"/>
  <c r="Z161" i="6"/>
  <c r="AD161" i="6" s="1"/>
  <c r="Z226" i="6"/>
  <c r="AD226" i="6" s="1"/>
  <c r="Z292" i="6"/>
  <c r="AD292" i="6" s="1"/>
  <c r="Z358" i="6"/>
  <c r="AD358" i="6" s="1"/>
  <c r="Z422" i="6"/>
  <c r="AD422" i="6" s="1"/>
  <c r="Z430" i="6"/>
  <c r="AD430" i="6" s="1"/>
  <c r="Z438" i="6"/>
  <c r="AD438" i="6" s="1"/>
  <c r="Z446" i="6"/>
  <c r="AD446" i="6" s="1"/>
  <c r="Z454" i="6"/>
  <c r="AD454" i="6" s="1"/>
  <c r="Z462" i="6"/>
  <c r="AD462" i="6" s="1"/>
  <c r="Z470" i="6"/>
  <c r="AD470" i="6" s="1"/>
  <c r="Z480" i="6"/>
  <c r="AD480" i="6" s="1"/>
  <c r="Z489" i="6"/>
  <c r="AD489" i="6" s="1"/>
  <c r="Z497" i="6"/>
  <c r="AD497" i="6" s="1"/>
  <c r="Z505" i="6"/>
  <c r="AD505" i="6" s="1"/>
  <c r="Z513" i="6"/>
  <c r="AD513" i="6" s="1"/>
  <c r="Z521" i="6"/>
  <c r="AD521" i="6" s="1"/>
  <c r="Z529" i="6"/>
  <c r="AD529" i="6" s="1"/>
  <c r="Z537" i="6"/>
  <c r="AD537" i="6" s="1"/>
  <c r="Z545" i="6"/>
  <c r="AD545" i="6" s="1"/>
  <c r="Z553" i="6"/>
  <c r="AD553" i="6" s="1"/>
  <c r="Z561" i="6"/>
  <c r="AD561" i="6" s="1"/>
  <c r="Z569" i="6"/>
  <c r="AD569" i="6" s="1"/>
  <c r="Z577" i="6"/>
  <c r="AD577" i="6" s="1"/>
  <c r="Z585" i="6"/>
  <c r="AD585" i="6" s="1"/>
  <c r="Z593" i="6"/>
  <c r="AD593" i="6" s="1"/>
  <c r="Z602" i="6"/>
  <c r="AD602" i="6" s="1"/>
  <c r="Z610" i="6"/>
  <c r="AD610" i="6" s="1"/>
  <c r="Z618" i="6"/>
  <c r="AD618" i="6" s="1"/>
  <c r="AA21" i="6"/>
  <c r="AE21" i="6" s="1"/>
  <c r="AA29" i="6"/>
  <c r="AE29" i="6" s="1"/>
  <c r="AA37" i="6"/>
  <c r="AE37" i="6" s="1"/>
  <c r="AA45" i="6"/>
  <c r="AE45" i="6" s="1"/>
  <c r="AA53" i="6"/>
  <c r="AE53" i="6" s="1"/>
  <c r="AA62" i="6"/>
  <c r="AE62" i="6" s="1"/>
  <c r="AA70" i="6"/>
  <c r="AE70" i="6" s="1"/>
  <c r="AA78" i="6"/>
  <c r="AE78" i="6" s="1"/>
  <c r="AA86" i="6"/>
  <c r="AE86" i="6" s="1"/>
  <c r="AA94" i="6"/>
  <c r="AE94" i="6" s="1"/>
  <c r="AA102" i="6"/>
  <c r="AE102" i="6" s="1"/>
  <c r="AA110" i="6"/>
  <c r="AE110" i="6" s="1"/>
  <c r="AA118" i="6"/>
  <c r="AE118" i="6" s="1"/>
  <c r="AA126" i="6"/>
  <c r="AE126" i="6" s="1"/>
  <c r="AA134" i="6"/>
  <c r="AE134" i="6" s="1"/>
  <c r="AA144" i="6"/>
  <c r="AE144" i="6" s="1"/>
  <c r="AA152" i="6"/>
  <c r="AE152" i="6" s="1"/>
  <c r="AA160" i="6"/>
  <c r="AE160" i="6" s="1"/>
  <c r="AA168" i="6"/>
  <c r="AE168" i="6" s="1"/>
  <c r="AA176" i="6"/>
  <c r="AE176" i="6" s="1"/>
  <c r="AA184" i="6"/>
  <c r="AE184" i="6" s="1"/>
  <c r="AA192" i="6"/>
  <c r="AE192" i="6" s="1"/>
  <c r="AA200" i="6"/>
  <c r="AE200" i="6" s="1"/>
  <c r="AA208" i="6"/>
  <c r="AE208" i="6" s="1"/>
  <c r="AA216" i="6"/>
  <c r="AE216" i="6" s="1"/>
  <c r="AA225" i="6"/>
  <c r="AE225" i="6" s="1"/>
  <c r="AA233" i="6"/>
  <c r="AE233" i="6" s="1"/>
  <c r="AA243" i="6"/>
  <c r="AE243" i="6" s="1"/>
  <c r="AA251" i="6"/>
  <c r="AE251" i="6" s="1"/>
  <c r="AA259" i="6"/>
  <c r="AE259" i="6" s="1"/>
  <c r="AA267" i="6"/>
  <c r="AE267" i="6" s="1"/>
  <c r="AA275" i="6"/>
  <c r="AE275" i="6" s="1"/>
  <c r="AA283" i="6"/>
  <c r="AE283" i="6" s="1"/>
  <c r="AA291" i="6"/>
  <c r="AE291" i="6" s="1"/>
  <c r="AA299" i="6"/>
  <c r="AE299" i="6" s="1"/>
  <c r="AA307" i="6"/>
  <c r="AE307" i="6" s="1"/>
  <c r="AA315" i="6"/>
  <c r="AE315" i="6" s="1"/>
  <c r="AA323" i="6"/>
  <c r="AE323" i="6" s="1"/>
  <c r="AA332" i="6"/>
  <c r="AE332" i="6" s="1"/>
  <c r="AA340" i="6"/>
  <c r="AE340" i="6" s="1"/>
  <c r="AA348" i="6"/>
  <c r="AE348" i="6" s="1"/>
  <c r="AA357" i="6"/>
  <c r="AE357" i="6" s="1"/>
  <c r="AA366" i="6"/>
  <c r="AE366" i="6" s="1"/>
  <c r="AA374" i="6"/>
  <c r="AE374" i="6" s="1"/>
  <c r="Y34" i="6"/>
  <c r="AC34" i="6" s="1"/>
  <c r="Y323" i="6"/>
  <c r="AC323" i="6" s="1"/>
  <c r="Y513" i="6"/>
  <c r="AC513" i="6" s="1"/>
  <c r="Y578" i="6"/>
  <c r="AC578" i="6" s="1"/>
  <c r="Z38" i="6"/>
  <c r="AD38" i="6" s="1"/>
  <c r="Z103" i="6"/>
  <c r="AD103" i="6" s="1"/>
  <c r="Z169" i="6"/>
  <c r="AD169" i="6" s="1"/>
  <c r="Z234" i="6"/>
  <c r="AD234" i="6" s="1"/>
  <c r="Z300" i="6"/>
  <c r="AD300" i="6" s="1"/>
  <c r="Z367" i="6"/>
  <c r="AD367" i="6" s="1"/>
  <c r="Z423" i="6"/>
  <c r="AD423" i="6" s="1"/>
  <c r="Z431" i="6"/>
  <c r="AD431" i="6" s="1"/>
  <c r="Z439" i="6"/>
  <c r="AD439" i="6" s="1"/>
  <c r="Z447" i="6"/>
  <c r="AD447" i="6" s="1"/>
  <c r="Z455" i="6"/>
  <c r="AD455" i="6" s="1"/>
  <c r="Z463" i="6"/>
  <c r="AD463" i="6" s="1"/>
  <c r="Z471" i="6"/>
  <c r="AD471" i="6" s="1"/>
  <c r="Z481" i="6"/>
  <c r="AD481" i="6" s="1"/>
  <c r="Z490" i="6"/>
  <c r="AD490" i="6" s="1"/>
  <c r="Z498" i="6"/>
  <c r="AD498" i="6" s="1"/>
  <c r="Z506" i="6"/>
  <c r="AD506" i="6" s="1"/>
  <c r="Z514" i="6"/>
  <c r="AD514" i="6" s="1"/>
  <c r="Z522" i="6"/>
  <c r="AD522" i="6" s="1"/>
  <c r="Z530" i="6"/>
  <c r="AD530" i="6" s="1"/>
  <c r="Z538" i="6"/>
  <c r="AD538" i="6" s="1"/>
  <c r="Z546" i="6"/>
  <c r="AD546" i="6" s="1"/>
  <c r="Z554" i="6"/>
  <c r="AD554" i="6" s="1"/>
  <c r="Z562" i="6"/>
  <c r="AD562" i="6" s="1"/>
  <c r="Z570" i="6"/>
  <c r="AD570" i="6" s="1"/>
  <c r="Z578" i="6"/>
  <c r="AD578" i="6" s="1"/>
  <c r="Z586" i="6"/>
  <c r="AD586" i="6" s="1"/>
  <c r="Z594" i="6"/>
  <c r="AD594" i="6" s="1"/>
  <c r="Z603" i="6"/>
  <c r="AD603" i="6" s="1"/>
  <c r="Z611" i="6"/>
  <c r="AD611" i="6" s="1"/>
  <c r="Z619" i="6"/>
  <c r="AD619" i="6" s="1"/>
  <c r="AA22" i="6"/>
  <c r="AE22" i="6" s="1"/>
  <c r="AA30" i="6"/>
  <c r="AE30" i="6" s="1"/>
  <c r="AA38" i="6"/>
  <c r="AE38" i="6" s="1"/>
  <c r="AA46" i="6"/>
  <c r="AE46" i="6" s="1"/>
  <c r="AA54" i="6"/>
  <c r="AE54" i="6" s="1"/>
  <c r="AA63" i="6"/>
  <c r="AE63" i="6" s="1"/>
  <c r="AA71" i="6"/>
  <c r="AE71" i="6" s="1"/>
  <c r="AA79" i="6"/>
  <c r="AE79" i="6" s="1"/>
  <c r="AA87" i="6"/>
  <c r="AE87" i="6" s="1"/>
  <c r="AA95" i="6"/>
  <c r="AE95" i="6" s="1"/>
  <c r="AA103" i="6"/>
  <c r="AE103" i="6" s="1"/>
  <c r="AA111" i="6"/>
  <c r="AE111" i="6" s="1"/>
  <c r="AA119" i="6"/>
  <c r="AE119" i="6" s="1"/>
  <c r="AA127" i="6"/>
  <c r="AE127" i="6" s="1"/>
  <c r="AA135" i="6"/>
  <c r="AE135" i="6" s="1"/>
  <c r="AA145" i="6"/>
  <c r="AE145" i="6" s="1"/>
  <c r="AA153" i="6"/>
  <c r="AE153" i="6" s="1"/>
  <c r="AA161" i="6"/>
  <c r="AE161" i="6" s="1"/>
  <c r="AA169" i="6"/>
  <c r="AE169" i="6" s="1"/>
  <c r="AA177" i="6"/>
  <c r="AE177" i="6" s="1"/>
  <c r="AA185" i="6"/>
  <c r="AE185" i="6" s="1"/>
  <c r="AA193" i="6"/>
  <c r="AE193" i="6" s="1"/>
  <c r="AA201" i="6"/>
  <c r="AE201" i="6" s="1"/>
  <c r="AA209" i="6"/>
  <c r="AE209" i="6" s="1"/>
  <c r="AA217" i="6"/>
  <c r="AE217" i="6" s="1"/>
  <c r="AA226" i="6"/>
  <c r="AE226" i="6" s="1"/>
  <c r="AA234" i="6"/>
  <c r="AE234" i="6" s="1"/>
  <c r="AA244" i="6"/>
  <c r="AE244" i="6" s="1"/>
  <c r="AA252" i="6"/>
  <c r="AE252" i="6" s="1"/>
  <c r="AA260" i="6"/>
  <c r="AE260" i="6" s="1"/>
  <c r="AA268" i="6"/>
  <c r="AE268" i="6" s="1"/>
  <c r="AA276" i="6"/>
  <c r="AE276" i="6" s="1"/>
  <c r="AA284" i="6"/>
  <c r="AE284" i="6" s="1"/>
  <c r="AA292" i="6"/>
  <c r="AE292" i="6" s="1"/>
  <c r="AA300" i="6"/>
  <c r="AE300" i="6" s="1"/>
  <c r="AA308" i="6"/>
  <c r="AE308" i="6" s="1"/>
  <c r="AA316" i="6"/>
  <c r="AE316" i="6" s="1"/>
  <c r="AA324" i="6"/>
  <c r="AE324" i="6" s="1"/>
  <c r="AA333" i="6"/>
  <c r="AE333" i="6" s="1"/>
  <c r="AA341" i="6"/>
  <c r="AE341" i="6" s="1"/>
  <c r="AA350" i="6"/>
  <c r="AE350" i="6" s="1"/>
  <c r="AA358" i="6"/>
  <c r="AE358" i="6" s="1"/>
  <c r="AA367" i="6"/>
  <c r="AE367" i="6" s="1"/>
  <c r="AA375" i="6"/>
  <c r="AE375" i="6" s="1"/>
  <c r="Y85" i="6"/>
  <c r="AC85" i="6" s="1"/>
  <c r="Y357" i="6"/>
  <c r="AC357" i="6" s="1"/>
  <c r="Y522" i="6"/>
  <c r="AC522" i="6" s="1"/>
  <c r="Y586" i="6"/>
  <c r="AC586" i="6" s="1"/>
  <c r="Z46" i="6"/>
  <c r="AD46" i="6" s="1"/>
  <c r="Z111" i="6"/>
  <c r="AD111" i="6" s="1"/>
  <c r="Z177" i="6"/>
  <c r="AD177" i="6" s="1"/>
  <c r="Z244" i="6"/>
  <c r="AD244" i="6" s="1"/>
  <c r="Z308" i="6"/>
  <c r="AD308" i="6" s="1"/>
  <c r="Z375" i="6"/>
  <c r="AD375" i="6" s="1"/>
  <c r="Z424" i="6"/>
  <c r="AD424" i="6" s="1"/>
  <c r="Z432" i="6"/>
  <c r="AD432" i="6" s="1"/>
  <c r="Z440" i="6"/>
  <c r="AD440" i="6" s="1"/>
  <c r="Z448" i="6"/>
  <c r="AD448" i="6" s="1"/>
  <c r="Z456" i="6"/>
  <c r="AD456" i="6" s="1"/>
  <c r="Z464" i="6"/>
  <c r="AD464" i="6" s="1"/>
  <c r="Z472" i="6"/>
  <c r="AD472" i="6" s="1"/>
  <c r="Z482" i="6"/>
  <c r="AD482" i="6" s="1"/>
  <c r="Z491" i="6"/>
  <c r="AD491" i="6" s="1"/>
  <c r="Z499" i="6"/>
  <c r="AD499" i="6" s="1"/>
  <c r="Z507" i="6"/>
  <c r="AD507" i="6" s="1"/>
  <c r="Z515" i="6"/>
  <c r="AD515" i="6" s="1"/>
  <c r="Z523" i="6"/>
  <c r="AD523" i="6" s="1"/>
  <c r="Z531" i="6"/>
  <c r="AD531" i="6" s="1"/>
  <c r="Z539" i="6"/>
  <c r="AD539" i="6" s="1"/>
  <c r="Z547" i="6"/>
  <c r="AD547" i="6" s="1"/>
  <c r="Z555" i="6"/>
  <c r="AD555" i="6" s="1"/>
  <c r="Z563" i="6"/>
  <c r="AD563" i="6" s="1"/>
  <c r="Z571" i="6"/>
  <c r="AD571" i="6" s="1"/>
  <c r="Z579" i="6"/>
  <c r="AD579" i="6" s="1"/>
  <c r="Z587" i="6"/>
  <c r="AD587" i="6" s="1"/>
  <c r="Z595" i="6"/>
  <c r="AD595" i="6" s="1"/>
  <c r="Z604" i="6"/>
  <c r="AD604" i="6" s="1"/>
  <c r="Z612" i="6"/>
  <c r="AD612" i="6" s="1"/>
  <c r="Z620" i="6"/>
  <c r="AD620" i="6" s="1"/>
  <c r="AA23" i="6"/>
  <c r="AE23" i="6" s="1"/>
  <c r="AA31" i="6"/>
  <c r="AE31" i="6" s="1"/>
  <c r="AA39" i="6"/>
  <c r="AE39" i="6" s="1"/>
  <c r="AA47" i="6"/>
  <c r="AE47" i="6" s="1"/>
  <c r="AA56" i="6"/>
  <c r="AE56" i="6" s="1"/>
  <c r="AA64" i="6"/>
  <c r="AE64" i="6" s="1"/>
  <c r="AA72" i="6"/>
  <c r="AE72" i="6" s="1"/>
  <c r="AA80" i="6"/>
  <c r="AE80" i="6" s="1"/>
  <c r="AA88" i="6"/>
  <c r="AE88" i="6" s="1"/>
  <c r="AA96" i="6"/>
  <c r="AE96" i="6" s="1"/>
  <c r="AA104" i="6"/>
  <c r="AE104" i="6" s="1"/>
  <c r="AA112" i="6"/>
  <c r="AE112" i="6" s="1"/>
  <c r="AA120" i="6"/>
  <c r="AE120" i="6" s="1"/>
  <c r="AA128" i="6"/>
  <c r="AE128" i="6" s="1"/>
  <c r="AA136" i="6"/>
  <c r="AE136" i="6" s="1"/>
  <c r="AA146" i="6"/>
  <c r="AE146" i="6" s="1"/>
  <c r="AA154" i="6"/>
  <c r="AE154" i="6" s="1"/>
  <c r="AA162" i="6"/>
  <c r="AE162" i="6" s="1"/>
  <c r="AA170" i="6"/>
  <c r="AE170" i="6" s="1"/>
  <c r="AA178" i="6"/>
  <c r="AE178" i="6" s="1"/>
  <c r="AA186" i="6"/>
  <c r="AE186" i="6" s="1"/>
  <c r="AA194" i="6"/>
  <c r="AE194" i="6" s="1"/>
  <c r="AA202" i="6"/>
  <c r="AE202" i="6" s="1"/>
  <c r="AA210" i="6"/>
  <c r="AE210" i="6" s="1"/>
  <c r="AA218" i="6"/>
  <c r="AE218" i="6" s="1"/>
  <c r="AA227" i="6"/>
  <c r="AE227" i="6" s="1"/>
  <c r="AA235" i="6"/>
  <c r="AE235" i="6" s="1"/>
  <c r="AA245" i="6"/>
  <c r="AE245" i="6" s="1"/>
  <c r="AA253" i="6"/>
  <c r="AE253" i="6" s="1"/>
  <c r="AA261" i="6"/>
  <c r="AE261" i="6" s="1"/>
  <c r="AA269" i="6"/>
  <c r="AE269" i="6" s="1"/>
  <c r="AA277" i="6"/>
  <c r="AE277" i="6" s="1"/>
  <c r="AA285" i="6"/>
  <c r="AE285" i="6" s="1"/>
  <c r="AA293" i="6"/>
  <c r="AE293" i="6" s="1"/>
  <c r="AA301" i="6"/>
  <c r="AE301" i="6" s="1"/>
  <c r="AA309" i="6"/>
  <c r="AE309" i="6" s="1"/>
  <c r="AA317" i="6"/>
  <c r="AE317" i="6" s="1"/>
  <c r="AA325" i="6"/>
  <c r="AE325" i="6" s="1"/>
  <c r="AA334" i="6"/>
  <c r="AE334" i="6" s="1"/>
  <c r="AA342" i="6"/>
  <c r="AE342" i="6" s="1"/>
  <c r="AA351" i="6"/>
  <c r="AE351" i="6" s="1"/>
  <c r="AA360" i="6"/>
  <c r="AE360" i="6" s="1"/>
  <c r="AA368" i="6"/>
  <c r="AE368" i="6" s="1"/>
  <c r="AA376" i="6"/>
  <c r="AE376" i="6" s="1"/>
  <c r="AA384" i="6"/>
  <c r="AE384" i="6" s="1"/>
  <c r="X67" i="6"/>
  <c r="AB67" i="6" s="1"/>
  <c r="Y126" i="6"/>
  <c r="AC126" i="6" s="1"/>
  <c r="Y390" i="6"/>
  <c r="AC390" i="6" s="1"/>
  <c r="Y530" i="6"/>
  <c r="AC530" i="6" s="1"/>
  <c r="Y594" i="6"/>
  <c r="AC594" i="6" s="1"/>
  <c r="Z54" i="6"/>
  <c r="AD54" i="6" s="1"/>
  <c r="Z119" i="6"/>
  <c r="AD119" i="6" s="1"/>
  <c r="Z185" i="6"/>
  <c r="AD185" i="6" s="1"/>
  <c r="Z252" i="6"/>
  <c r="AD252" i="6" s="1"/>
  <c r="Z316" i="6"/>
  <c r="AD316" i="6" s="1"/>
  <c r="Z383" i="6"/>
  <c r="AD383" i="6" s="1"/>
  <c r="Z425" i="6"/>
  <c r="AD425" i="6" s="1"/>
  <c r="Z433" i="6"/>
  <c r="AD433" i="6" s="1"/>
  <c r="Z441" i="6"/>
  <c r="AD441" i="6" s="1"/>
  <c r="Z449" i="6"/>
  <c r="AD449" i="6" s="1"/>
  <c r="Z457" i="6"/>
  <c r="AD457" i="6" s="1"/>
  <c r="Z465" i="6"/>
  <c r="AD465" i="6" s="1"/>
  <c r="Z473" i="6"/>
  <c r="AD473" i="6" s="1"/>
  <c r="Z483" i="6"/>
  <c r="AD483" i="6" s="1"/>
  <c r="Z492" i="6"/>
  <c r="AD492" i="6" s="1"/>
  <c r="Z500" i="6"/>
  <c r="AD500" i="6" s="1"/>
  <c r="Z508" i="6"/>
  <c r="AD508" i="6" s="1"/>
  <c r="Z516" i="6"/>
  <c r="AD516" i="6" s="1"/>
  <c r="Z524" i="6"/>
  <c r="AD524" i="6" s="1"/>
  <c r="Z532" i="6"/>
  <c r="AD532" i="6" s="1"/>
  <c r="Z540" i="6"/>
  <c r="AD540" i="6" s="1"/>
  <c r="Z548" i="6"/>
  <c r="AD548" i="6" s="1"/>
  <c r="Z556" i="6"/>
  <c r="AD556" i="6" s="1"/>
  <c r="Z564" i="6"/>
  <c r="AD564" i="6" s="1"/>
  <c r="Z572" i="6"/>
  <c r="AD572" i="6" s="1"/>
  <c r="Z580" i="6"/>
  <c r="AD580" i="6" s="1"/>
  <c r="Z588" i="6"/>
  <c r="AD588" i="6" s="1"/>
  <c r="Z596" i="6"/>
  <c r="AD596" i="6" s="1"/>
  <c r="Z605" i="6"/>
  <c r="AD605" i="6" s="1"/>
  <c r="Z613" i="6"/>
  <c r="AD613" i="6" s="1"/>
  <c r="Z621" i="6"/>
  <c r="AD621" i="6" s="1"/>
  <c r="AA24" i="6"/>
  <c r="AE24" i="6" s="1"/>
  <c r="AA32" i="6"/>
  <c r="AE32" i="6" s="1"/>
  <c r="AA40" i="6"/>
  <c r="AE40" i="6" s="1"/>
  <c r="AA48" i="6"/>
  <c r="AE48" i="6" s="1"/>
  <c r="AA57" i="6"/>
  <c r="AE57" i="6" s="1"/>
  <c r="AA65" i="6"/>
  <c r="AE65" i="6" s="1"/>
  <c r="AA73" i="6"/>
  <c r="AE73" i="6" s="1"/>
  <c r="AA81" i="6"/>
  <c r="AE81" i="6" s="1"/>
  <c r="AA89" i="6"/>
  <c r="AE89" i="6" s="1"/>
  <c r="AA97" i="6"/>
  <c r="AE97" i="6" s="1"/>
  <c r="AA105" i="6"/>
  <c r="AE105" i="6" s="1"/>
  <c r="AA113" i="6"/>
  <c r="AE113" i="6" s="1"/>
  <c r="AA121" i="6"/>
  <c r="AE121" i="6" s="1"/>
  <c r="AA129" i="6"/>
  <c r="AE129" i="6" s="1"/>
  <c r="AA137" i="6"/>
  <c r="AE137" i="6" s="1"/>
  <c r="AA147" i="6"/>
  <c r="AE147" i="6" s="1"/>
  <c r="AA155" i="6"/>
  <c r="AE155" i="6" s="1"/>
  <c r="AA163" i="6"/>
  <c r="AE163" i="6" s="1"/>
  <c r="AA171" i="6"/>
  <c r="AE171" i="6" s="1"/>
  <c r="AA179" i="6"/>
  <c r="AE179" i="6" s="1"/>
  <c r="AA187" i="6"/>
  <c r="AE187" i="6" s="1"/>
  <c r="AA195" i="6"/>
  <c r="AE195" i="6" s="1"/>
  <c r="AA203" i="6"/>
  <c r="AE203" i="6" s="1"/>
  <c r="AA211" i="6"/>
  <c r="AE211" i="6" s="1"/>
  <c r="AA219" i="6"/>
  <c r="AE219" i="6" s="1"/>
  <c r="AA228" i="6"/>
  <c r="AE228" i="6" s="1"/>
  <c r="AA236" i="6"/>
  <c r="AE236" i="6" s="1"/>
  <c r="AA246" i="6"/>
  <c r="AE246" i="6" s="1"/>
  <c r="AA254" i="6"/>
  <c r="AE254" i="6" s="1"/>
  <c r="AA262" i="6"/>
  <c r="AE262" i="6" s="1"/>
  <c r="AA270" i="6"/>
  <c r="AE270" i="6" s="1"/>
  <c r="AA278" i="6"/>
  <c r="AE278" i="6" s="1"/>
  <c r="AA286" i="6"/>
  <c r="AE286" i="6" s="1"/>
  <c r="AA294" i="6"/>
  <c r="AE294" i="6" s="1"/>
  <c r="AA302" i="6"/>
  <c r="AE302" i="6" s="1"/>
  <c r="AA310" i="6"/>
  <c r="AE310" i="6" s="1"/>
  <c r="AA318" i="6"/>
  <c r="AE318" i="6" s="1"/>
  <c r="AA326" i="6"/>
  <c r="AE326" i="6" s="1"/>
  <c r="AA335" i="6"/>
  <c r="AE335" i="6" s="1"/>
  <c r="AA343" i="6"/>
  <c r="AE343" i="6" s="1"/>
  <c r="AA352" i="6"/>
  <c r="AE352" i="6" s="1"/>
  <c r="AA361" i="6"/>
  <c r="AE361" i="6" s="1"/>
  <c r="AA369" i="6"/>
  <c r="AE369" i="6" s="1"/>
  <c r="AA377" i="6"/>
  <c r="AE377" i="6" s="1"/>
  <c r="AA385" i="6"/>
  <c r="AE385" i="6" s="1"/>
  <c r="Y423" i="6"/>
  <c r="AC423" i="6" s="1"/>
  <c r="Z391" i="6"/>
  <c r="AD391" i="6" s="1"/>
  <c r="Z484" i="6"/>
  <c r="AD484" i="6" s="1"/>
  <c r="Z549" i="6"/>
  <c r="AD549" i="6" s="1"/>
  <c r="Z614" i="6"/>
  <c r="AD614" i="6" s="1"/>
  <c r="AA74" i="6"/>
  <c r="AE74" i="6" s="1"/>
  <c r="AA138" i="6"/>
  <c r="AE138" i="6" s="1"/>
  <c r="AA204" i="6"/>
  <c r="AE204" i="6" s="1"/>
  <c r="AA271" i="6"/>
  <c r="AE271" i="6" s="1"/>
  <c r="AA336" i="6"/>
  <c r="AE336" i="6" s="1"/>
  <c r="AA386" i="6"/>
  <c r="AE386" i="6" s="1"/>
  <c r="AA401" i="6"/>
  <c r="AE401" i="6" s="1"/>
  <c r="AA415" i="6"/>
  <c r="AE415" i="6" s="1"/>
  <c r="AA426" i="6"/>
  <c r="AE426" i="6" s="1"/>
  <c r="AA435" i="6"/>
  <c r="AE435" i="6" s="1"/>
  <c r="AA444" i="6"/>
  <c r="AE444" i="6" s="1"/>
  <c r="AA452" i="6"/>
  <c r="AE452" i="6" s="1"/>
  <c r="AA460" i="6"/>
  <c r="AE460" i="6" s="1"/>
  <c r="AA468" i="6"/>
  <c r="AE468" i="6" s="1"/>
  <c r="AA478" i="6"/>
  <c r="AE478" i="6" s="1"/>
  <c r="AA486" i="6"/>
  <c r="AE486" i="6" s="1"/>
  <c r="AA495" i="6"/>
  <c r="AE495" i="6" s="1"/>
  <c r="AA503" i="6"/>
  <c r="AE503" i="6" s="1"/>
  <c r="AA511" i="6"/>
  <c r="AE511" i="6" s="1"/>
  <c r="AA519" i="6"/>
  <c r="AE519" i="6" s="1"/>
  <c r="AA527" i="6"/>
  <c r="AE527" i="6" s="1"/>
  <c r="AA535" i="6"/>
  <c r="AE535" i="6" s="1"/>
  <c r="AA543" i="6"/>
  <c r="AE543" i="6" s="1"/>
  <c r="AA551" i="6"/>
  <c r="AE551" i="6" s="1"/>
  <c r="AA559" i="6"/>
  <c r="AE559" i="6" s="1"/>
  <c r="AA567" i="6"/>
  <c r="AE567" i="6" s="1"/>
  <c r="AA575" i="6"/>
  <c r="AE575" i="6" s="1"/>
  <c r="AA583" i="6"/>
  <c r="AE583" i="6" s="1"/>
  <c r="AA591" i="6"/>
  <c r="AE591" i="6" s="1"/>
  <c r="AA599" i="6"/>
  <c r="AE599" i="6" s="1"/>
  <c r="AA608" i="6"/>
  <c r="AE608" i="6" s="1"/>
  <c r="AA616" i="6"/>
  <c r="AE616" i="6" s="1"/>
  <c r="Y538" i="6"/>
  <c r="AC538" i="6" s="1"/>
  <c r="Z426" i="6"/>
  <c r="AD426" i="6" s="1"/>
  <c r="Z493" i="6"/>
  <c r="AD493" i="6" s="1"/>
  <c r="Z557" i="6"/>
  <c r="AD557" i="6" s="1"/>
  <c r="AA17" i="6"/>
  <c r="AE17" i="6" s="1"/>
  <c r="AA82" i="6"/>
  <c r="AE82" i="6" s="1"/>
  <c r="AA148" i="6"/>
  <c r="AE148" i="6" s="1"/>
  <c r="AA212" i="6"/>
  <c r="AE212" i="6" s="1"/>
  <c r="AA279" i="6"/>
  <c r="AE279" i="6" s="1"/>
  <c r="AA344" i="6"/>
  <c r="AE344" i="6" s="1"/>
  <c r="AA390" i="6"/>
  <c r="AE390" i="6" s="1"/>
  <c r="AA402" i="6"/>
  <c r="AE402" i="6" s="1"/>
  <c r="AA416" i="6"/>
  <c r="AE416" i="6" s="1"/>
  <c r="AA427" i="6"/>
  <c r="AE427" i="6" s="1"/>
  <c r="AA436" i="6"/>
  <c r="AE436" i="6" s="1"/>
  <c r="AA445" i="6"/>
  <c r="AE445" i="6" s="1"/>
  <c r="AA453" i="6"/>
  <c r="AE453" i="6" s="1"/>
  <c r="AA461" i="6"/>
  <c r="AE461" i="6" s="1"/>
  <c r="AA469" i="6"/>
  <c r="AE469" i="6" s="1"/>
  <c r="AA479" i="6"/>
  <c r="AE479" i="6" s="1"/>
  <c r="AA487" i="6"/>
  <c r="AE487" i="6" s="1"/>
  <c r="AA496" i="6"/>
  <c r="AE496" i="6" s="1"/>
  <c r="AA504" i="6"/>
  <c r="AE504" i="6" s="1"/>
  <c r="AA512" i="6"/>
  <c r="AE512" i="6" s="1"/>
  <c r="AA520" i="6"/>
  <c r="AE520" i="6" s="1"/>
  <c r="AA528" i="6"/>
  <c r="AE528" i="6" s="1"/>
  <c r="AA536" i="6"/>
  <c r="AE536" i="6" s="1"/>
  <c r="AA544" i="6"/>
  <c r="AE544" i="6" s="1"/>
  <c r="AA552" i="6"/>
  <c r="AE552" i="6" s="1"/>
  <c r="AA560" i="6"/>
  <c r="AE560" i="6" s="1"/>
  <c r="AA568" i="6"/>
  <c r="AE568" i="6" s="1"/>
  <c r="AA576" i="6"/>
  <c r="AE576" i="6" s="1"/>
  <c r="AA584" i="6"/>
  <c r="AE584" i="6" s="1"/>
  <c r="AA592" i="6"/>
  <c r="AE592" i="6" s="1"/>
  <c r="AA601" i="6"/>
  <c r="AE601" i="6" s="1"/>
  <c r="AA609" i="6"/>
  <c r="AE609" i="6" s="1"/>
  <c r="AA617" i="6"/>
  <c r="AE617" i="6" s="1"/>
  <c r="Y603" i="6"/>
  <c r="AC603" i="6" s="1"/>
  <c r="Z434" i="6"/>
  <c r="AD434" i="6" s="1"/>
  <c r="Z501" i="6"/>
  <c r="AD501" i="6" s="1"/>
  <c r="Z565" i="6"/>
  <c r="AD565" i="6" s="1"/>
  <c r="AA25" i="6"/>
  <c r="AE25" i="6" s="1"/>
  <c r="AA90" i="6"/>
  <c r="AE90" i="6" s="1"/>
  <c r="AA156" i="6"/>
  <c r="AE156" i="6" s="1"/>
  <c r="AA220" i="6"/>
  <c r="AE220" i="6" s="1"/>
  <c r="AA287" i="6"/>
  <c r="AE287" i="6" s="1"/>
  <c r="AA353" i="6"/>
  <c r="AE353" i="6" s="1"/>
  <c r="AA391" i="6"/>
  <c r="AE391" i="6" s="1"/>
  <c r="AA403" i="6"/>
  <c r="AE403" i="6" s="1"/>
  <c r="AA417" i="6"/>
  <c r="AE417" i="6" s="1"/>
  <c r="AA428" i="6"/>
  <c r="AE428" i="6" s="1"/>
  <c r="AA438" i="6"/>
  <c r="AE438" i="6" s="1"/>
  <c r="AA446" i="6"/>
  <c r="AE446" i="6" s="1"/>
  <c r="AA454" i="6"/>
  <c r="AE454" i="6" s="1"/>
  <c r="AA462" i="6"/>
  <c r="AE462" i="6" s="1"/>
  <c r="AA470" i="6"/>
  <c r="AE470" i="6" s="1"/>
  <c r="AA480" i="6"/>
  <c r="AE480" i="6" s="1"/>
  <c r="AA489" i="6"/>
  <c r="AE489" i="6" s="1"/>
  <c r="AA497" i="6"/>
  <c r="AE497" i="6" s="1"/>
  <c r="AA505" i="6"/>
  <c r="AE505" i="6" s="1"/>
  <c r="AA513" i="6"/>
  <c r="AE513" i="6" s="1"/>
  <c r="AA521" i="6"/>
  <c r="AE521" i="6" s="1"/>
  <c r="AA529" i="6"/>
  <c r="AE529" i="6" s="1"/>
  <c r="AA537" i="6"/>
  <c r="AE537" i="6" s="1"/>
  <c r="AA545" i="6"/>
  <c r="AE545" i="6" s="1"/>
  <c r="AA553" i="6"/>
  <c r="AE553" i="6" s="1"/>
  <c r="AA561" i="6"/>
  <c r="AE561" i="6" s="1"/>
  <c r="AA569" i="6"/>
  <c r="AE569" i="6" s="1"/>
  <c r="AA577" i="6"/>
  <c r="AE577" i="6" s="1"/>
  <c r="AA585" i="6"/>
  <c r="AE585" i="6" s="1"/>
  <c r="AA593" i="6"/>
  <c r="AE593" i="6" s="1"/>
  <c r="AA602" i="6"/>
  <c r="AE602" i="6" s="1"/>
  <c r="AA610" i="6"/>
  <c r="AE610" i="6" s="1"/>
  <c r="AA618" i="6"/>
  <c r="AE618" i="6" s="1"/>
  <c r="Z63" i="6"/>
  <c r="AD63" i="6" s="1"/>
  <c r="Z442" i="6"/>
  <c r="AD442" i="6" s="1"/>
  <c r="Z509" i="6"/>
  <c r="AD509" i="6" s="1"/>
  <c r="Z573" i="6"/>
  <c r="AD573" i="6" s="1"/>
  <c r="AA33" i="6"/>
  <c r="AE33" i="6" s="1"/>
  <c r="AA98" i="6"/>
  <c r="AE98" i="6" s="1"/>
  <c r="AA164" i="6"/>
  <c r="AE164" i="6" s="1"/>
  <c r="AA229" i="6"/>
  <c r="AE229" i="6" s="1"/>
  <c r="AA295" i="6"/>
  <c r="AE295" i="6" s="1"/>
  <c r="AA362" i="6"/>
  <c r="AE362" i="6" s="1"/>
  <c r="AA392" i="6"/>
  <c r="AE392" i="6" s="1"/>
  <c r="AA407" i="6"/>
  <c r="AE407" i="6" s="1"/>
  <c r="AA418" i="6"/>
  <c r="AE418" i="6" s="1"/>
  <c r="AA430" i="6"/>
  <c r="AE430" i="6" s="1"/>
  <c r="AA439" i="6"/>
  <c r="AE439" i="6" s="1"/>
  <c r="AA447" i="6"/>
  <c r="AE447" i="6" s="1"/>
  <c r="AA455" i="6"/>
  <c r="AE455" i="6" s="1"/>
  <c r="AA463" i="6"/>
  <c r="AE463" i="6" s="1"/>
  <c r="AA471" i="6"/>
  <c r="AE471" i="6" s="1"/>
  <c r="AA481" i="6"/>
  <c r="AE481" i="6" s="1"/>
  <c r="AA490" i="6"/>
  <c r="AE490" i="6" s="1"/>
  <c r="AA498" i="6"/>
  <c r="AE498" i="6" s="1"/>
  <c r="AA506" i="6"/>
  <c r="AE506" i="6" s="1"/>
  <c r="AA514" i="6"/>
  <c r="AE514" i="6" s="1"/>
  <c r="AA522" i="6"/>
  <c r="AE522" i="6" s="1"/>
  <c r="AA530" i="6"/>
  <c r="AE530" i="6" s="1"/>
  <c r="AA538" i="6"/>
  <c r="AE538" i="6" s="1"/>
  <c r="AA546" i="6"/>
  <c r="AE546" i="6" s="1"/>
  <c r="AA554" i="6"/>
  <c r="AE554" i="6" s="1"/>
  <c r="AA562" i="6"/>
  <c r="AE562" i="6" s="1"/>
  <c r="AA570" i="6"/>
  <c r="AE570" i="6" s="1"/>
  <c r="AA578" i="6"/>
  <c r="AE578" i="6" s="1"/>
  <c r="AA586" i="6"/>
  <c r="AE586" i="6" s="1"/>
  <c r="AA594" i="6"/>
  <c r="AE594" i="6" s="1"/>
  <c r="AA603" i="6"/>
  <c r="AE603" i="6" s="1"/>
  <c r="AA611" i="6"/>
  <c r="AE611" i="6" s="1"/>
  <c r="AA619" i="6"/>
  <c r="AE619" i="6" s="1"/>
  <c r="Z127" i="6"/>
  <c r="AD127" i="6" s="1"/>
  <c r="Z450" i="6"/>
  <c r="AD450" i="6" s="1"/>
  <c r="Z517" i="6"/>
  <c r="AD517" i="6" s="1"/>
  <c r="Z581" i="6"/>
  <c r="AD581" i="6" s="1"/>
  <c r="AA41" i="6"/>
  <c r="AE41" i="6" s="1"/>
  <c r="AA106" i="6"/>
  <c r="AE106" i="6" s="1"/>
  <c r="AA172" i="6"/>
  <c r="AE172" i="6" s="1"/>
  <c r="AA237" i="6"/>
  <c r="AE237" i="6" s="1"/>
  <c r="AA303" i="6"/>
  <c r="AE303" i="6" s="1"/>
  <c r="AA370" i="6"/>
  <c r="AE370" i="6" s="1"/>
  <c r="AA393" i="6"/>
  <c r="AE393" i="6" s="1"/>
  <c r="AA408" i="6"/>
  <c r="AE408" i="6" s="1"/>
  <c r="AA419" i="6"/>
  <c r="AE419" i="6" s="1"/>
  <c r="AA431" i="6"/>
  <c r="AE431" i="6" s="1"/>
  <c r="AA440" i="6"/>
  <c r="AE440" i="6" s="1"/>
  <c r="AA448" i="6"/>
  <c r="AE448" i="6" s="1"/>
  <c r="AA456" i="6"/>
  <c r="AE456" i="6" s="1"/>
  <c r="AA464" i="6"/>
  <c r="AE464" i="6" s="1"/>
  <c r="AA472" i="6"/>
  <c r="AE472" i="6" s="1"/>
  <c r="AA482" i="6"/>
  <c r="AE482" i="6" s="1"/>
  <c r="AA491" i="6"/>
  <c r="AE491" i="6" s="1"/>
  <c r="AA499" i="6"/>
  <c r="AE499" i="6" s="1"/>
  <c r="AA507" i="6"/>
  <c r="AE507" i="6" s="1"/>
  <c r="AA515" i="6"/>
  <c r="AE515" i="6" s="1"/>
  <c r="AA523" i="6"/>
  <c r="AE523" i="6" s="1"/>
  <c r="AA531" i="6"/>
  <c r="AE531" i="6" s="1"/>
  <c r="AA539" i="6"/>
  <c r="AE539" i="6" s="1"/>
  <c r="AA547" i="6"/>
  <c r="AE547" i="6" s="1"/>
  <c r="AA555" i="6"/>
  <c r="AE555" i="6" s="1"/>
  <c r="AA563" i="6"/>
  <c r="AE563" i="6" s="1"/>
  <c r="AA571" i="6"/>
  <c r="AE571" i="6" s="1"/>
  <c r="AA579" i="6"/>
  <c r="AE579" i="6" s="1"/>
  <c r="AA587" i="6"/>
  <c r="AE587" i="6" s="1"/>
  <c r="AA595" i="6"/>
  <c r="AE595" i="6" s="1"/>
  <c r="AA604" i="6"/>
  <c r="AE604" i="6" s="1"/>
  <c r="AA612" i="6"/>
  <c r="AE612" i="6" s="1"/>
  <c r="AA620" i="6"/>
  <c r="AE620" i="6" s="1"/>
  <c r="Z193" i="6"/>
  <c r="AD193" i="6" s="1"/>
  <c r="Z458" i="6"/>
  <c r="AD458" i="6" s="1"/>
  <c r="Z525" i="6"/>
  <c r="AD525" i="6" s="1"/>
  <c r="Z589" i="6"/>
  <c r="AD589" i="6" s="1"/>
  <c r="AA49" i="6"/>
  <c r="AE49" i="6" s="1"/>
  <c r="AA114" i="6"/>
  <c r="AE114" i="6" s="1"/>
  <c r="AA180" i="6"/>
  <c r="AE180" i="6" s="1"/>
  <c r="AA247" i="6"/>
  <c r="AE247" i="6" s="1"/>
  <c r="AA311" i="6"/>
  <c r="AE311" i="6" s="1"/>
  <c r="AA378" i="6"/>
  <c r="AE378" i="6" s="1"/>
  <c r="AA394" i="6"/>
  <c r="AE394" i="6" s="1"/>
  <c r="AA409" i="6"/>
  <c r="AE409" i="6" s="1"/>
  <c r="AA423" i="6"/>
  <c r="AE423" i="6" s="1"/>
  <c r="AA432" i="6"/>
  <c r="AE432" i="6" s="1"/>
  <c r="AA441" i="6"/>
  <c r="AE441" i="6" s="1"/>
  <c r="AA449" i="6"/>
  <c r="AE449" i="6" s="1"/>
  <c r="AA457" i="6"/>
  <c r="AE457" i="6" s="1"/>
  <c r="AA465" i="6"/>
  <c r="AE465" i="6" s="1"/>
  <c r="AA473" i="6"/>
  <c r="AE473" i="6" s="1"/>
  <c r="AA483" i="6"/>
  <c r="AE483" i="6" s="1"/>
  <c r="AA492" i="6"/>
  <c r="AE492" i="6" s="1"/>
  <c r="AA500" i="6"/>
  <c r="AE500" i="6" s="1"/>
  <c r="AA508" i="6"/>
  <c r="AE508" i="6" s="1"/>
  <c r="AA516" i="6"/>
  <c r="AE516" i="6" s="1"/>
  <c r="AA524" i="6"/>
  <c r="AE524" i="6" s="1"/>
  <c r="AA532" i="6"/>
  <c r="AE532" i="6" s="1"/>
  <c r="AA540" i="6"/>
  <c r="AE540" i="6" s="1"/>
  <c r="AA548" i="6"/>
  <c r="AE548" i="6" s="1"/>
  <c r="AA556" i="6"/>
  <c r="AE556" i="6" s="1"/>
  <c r="AA564" i="6"/>
  <c r="AE564" i="6" s="1"/>
  <c r="AA572" i="6"/>
  <c r="AE572" i="6" s="1"/>
  <c r="AA580" i="6"/>
  <c r="AE580" i="6" s="1"/>
  <c r="AA588" i="6"/>
  <c r="AE588" i="6" s="1"/>
  <c r="AA596" i="6"/>
  <c r="AE596" i="6" s="1"/>
  <c r="AA605" i="6"/>
  <c r="AE605" i="6" s="1"/>
  <c r="AA613" i="6"/>
  <c r="AE613" i="6" s="1"/>
  <c r="AA621" i="6"/>
  <c r="AE621" i="6" s="1"/>
  <c r="X312" i="6"/>
  <c r="AB312" i="6" s="1"/>
  <c r="Z260" i="6"/>
  <c r="AD260" i="6" s="1"/>
  <c r="Z466" i="6"/>
  <c r="AD466" i="6" s="1"/>
  <c r="Z533" i="6"/>
  <c r="AD533" i="6" s="1"/>
  <c r="Z597" i="6"/>
  <c r="AD597" i="6" s="1"/>
  <c r="AA58" i="6"/>
  <c r="AE58" i="6" s="1"/>
  <c r="AA122" i="6"/>
  <c r="AE122" i="6" s="1"/>
  <c r="AA188" i="6"/>
  <c r="AE188" i="6" s="1"/>
  <c r="AA255" i="6"/>
  <c r="AE255" i="6" s="1"/>
  <c r="AA319" i="6"/>
  <c r="AE319" i="6" s="1"/>
  <c r="AA382" i="6"/>
  <c r="AE382" i="6" s="1"/>
  <c r="AA398" i="6"/>
  <c r="AE398" i="6" s="1"/>
  <c r="AA410" i="6"/>
  <c r="AE410" i="6" s="1"/>
  <c r="AA424" i="6"/>
  <c r="AE424" i="6" s="1"/>
  <c r="AA433" i="6"/>
  <c r="AE433" i="6" s="1"/>
  <c r="AA442" i="6"/>
  <c r="AE442" i="6" s="1"/>
  <c r="AA450" i="6"/>
  <c r="AE450" i="6" s="1"/>
  <c r="AA458" i="6"/>
  <c r="AE458" i="6" s="1"/>
  <c r="AA466" i="6"/>
  <c r="AE466" i="6" s="1"/>
  <c r="AA474" i="6"/>
  <c r="AE474" i="6" s="1"/>
  <c r="AA484" i="6"/>
  <c r="AE484" i="6" s="1"/>
  <c r="AA493" i="6"/>
  <c r="AE493" i="6" s="1"/>
  <c r="AA501" i="6"/>
  <c r="AE501" i="6" s="1"/>
  <c r="AA509" i="6"/>
  <c r="AE509" i="6" s="1"/>
  <c r="AA517" i="6"/>
  <c r="AE517" i="6" s="1"/>
  <c r="AA525" i="6"/>
  <c r="AE525" i="6" s="1"/>
  <c r="AA533" i="6"/>
  <c r="AE533" i="6" s="1"/>
  <c r="AA541" i="6"/>
  <c r="AE541" i="6" s="1"/>
  <c r="AA549" i="6"/>
  <c r="AE549" i="6" s="1"/>
  <c r="AA557" i="6"/>
  <c r="AE557" i="6" s="1"/>
  <c r="AA565" i="6"/>
  <c r="AE565" i="6" s="1"/>
  <c r="AA573" i="6"/>
  <c r="AE573" i="6" s="1"/>
  <c r="AA581" i="6"/>
  <c r="AE581" i="6" s="1"/>
  <c r="AA589" i="6"/>
  <c r="AE589" i="6" s="1"/>
  <c r="AA597" i="6"/>
  <c r="AE597" i="6" s="1"/>
  <c r="AA606" i="6"/>
  <c r="AE606" i="6" s="1"/>
  <c r="AA614" i="6"/>
  <c r="AE614" i="6" s="1"/>
  <c r="Z474" i="6"/>
  <c r="AD474" i="6" s="1"/>
  <c r="AA383" i="6"/>
  <c r="AE383" i="6" s="1"/>
  <c r="AA467" i="6"/>
  <c r="AE467" i="6" s="1"/>
  <c r="AA534" i="6"/>
  <c r="AE534" i="6" s="1"/>
  <c r="AA598" i="6"/>
  <c r="AE598" i="6" s="1"/>
  <c r="AA590" i="6"/>
  <c r="AE590" i="6" s="1"/>
  <c r="Z541" i="6"/>
  <c r="AD541" i="6" s="1"/>
  <c r="AA399" i="6"/>
  <c r="AE399" i="6" s="1"/>
  <c r="AA475" i="6"/>
  <c r="AE475" i="6" s="1"/>
  <c r="AA542" i="6"/>
  <c r="AE542" i="6" s="1"/>
  <c r="AA607" i="6"/>
  <c r="AE607" i="6" s="1"/>
  <c r="Z606" i="6"/>
  <c r="AD606" i="6" s="1"/>
  <c r="AA411" i="6"/>
  <c r="AE411" i="6" s="1"/>
  <c r="AA485" i="6"/>
  <c r="AE485" i="6" s="1"/>
  <c r="AA550" i="6"/>
  <c r="AE550" i="6" s="1"/>
  <c r="AA615" i="6"/>
  <c r="AE615" i="6" s="1"/>
  <c r="Z324" i="6"/>
  <c r="AD324" i="6" s="1"/>
  <c r="AA66" i="6"/>
  <c r="AE66" i="6" s="1"/>
  <c r="AA425" i="6"/>
  <c r="AE425" i="6" s="1"/>
  <c r="AA494" i="6"/>
  <c r="AE494" i="6" s="1"/>
  <c r="AA558" i="6"/>
  <c r="AE558" i="6" s="1"/>
  <c r="AA130" i="6"/>
  <c r="AE130" i="6" s="1"/>
  <c r="AA434" i="6"/>
  <c r="AE434" i="6" s="1"/>
  <c r="AA502" i="6"/>
  <c r="AE502" i="6" s="1"/>
  <c r="AA566" i="6"/>
  <c r="AE566" i="6" s="1"/>
  <c r="AA459" i="6"/>
  <c r="AE459" i="6" s="1"/>
  <c r="AA196" i="6"/>
  <c r="AE196" i="6" s="1"/>
  <c r="AA443" i="6"/>
  <c r="AE443" i="6" s="1"/>
  <c r="AA510" i="6"/>
  <c r="AE510" i="6" s="1"/>
  <c r="AA574" i="6"/>
  <c r="AE574" i="6" s="1"/>
  <c r="AA526" i="6"/>
  <c r="AE526" i="6" s="1"/>
  <c r="Y160" i="6"/>
  <c r="AC160" i="6" s="1"/>
  <c r="AA263" i="6"/>
  <c r="AE263" i="6" s="1"/>
  <c r="AA451" i="6"/>
  <c r="AE451" i="6" s="1"/>
  <c r="AA518" i="6"/>
  <c r="AE518" i="6" s="1"/>
  <c r="AA582" i="6"/>
  <c r="AE582" i="6" s="1"/>
  <c r="AA327" i="6"/>
  <c r="AE327" i="6" s="1"/>
  <c r="D31" i="23"/>
  <c r="D37" i="23" s="1"/>
  <c r="D43" i="23"/>
  <c r="D42" i="23"/>
  <c r="D25" i="23"/>
  <c r="D36" i="23"/>
  <c r="F42" i="23"/>
  <c r="F43" i="23"/>
  <c r="E43" i="23"/>
  <c r="E36" i="23"/>
  <c r="F36" i="23"/>
  <c r="E42" i="23"/>
  <c r="AJ535" i="6"/>
  <c r="AK535" i="6" s="1"/>
  <c r="AL535" i="6" s="1"/>
  <c r="D13" i="6"/>
  <c r="G237" i="22"/>
  <c r="D7" i="22"/>
  <c r="X16" i="6"/>
  <c r="AB16" i="6" s="1"/>
  <c r="L20" i="24"/>
  <c r="AJ169" i="6"/>
  <c r="AK169" i="6" s="1"/>
  <c r="AL169" i="6" s="1"/>
  <c r="AJ170" i="6"/>
  <c r="AK170" i="6" s="1"/>
  <c r="AL170" i="6" s="1"/>
  <c r="AJ228" i="6"/>
  <c r="AK228" i="6" s="1"/>
  <c r="AL228" i="6" s="1"/>
  <c r="AJ74" i="6"/>
  <c r="AK74" i="6" s="1"/>
  <c r="AL74" i="6" s="1"/>
  <c r="AJ148" i="6"/>
  <c r="AK148" i="6" s="1"/>
  <c r="AL148" i="6" s="1"/>
  <c r="AJ229" i="6"/>
  <c r="AK229" i="6" s="1"/>
  <c r="AL229" i="6" s="1"/>
  <c r="AJ75" i="6"/>
  <c r="AK75" i="6" s="1"/>
  <c r="AL75" i="6" s="1"/>
  <c r="AJ165" i="6"/>
  <c r="AK165" i="6" s="1"/>
  <c r="AL165" i="6" s="1"/>
  <c r="AJ230" i="6"/>
  <c r="AK230" i="6" s="1"/>
  <c r="AL230" i="6" s="1"/>
  <c r="AJ76" i="6"/>
  <c r="AK76" i="6" s="1"/>
  <c r="AL76" i="6" s="1"/>
  <c r="AJ166" i="6"/>
  <c r="AK166" i="6" s="1"/>
  <c r="AL166" i="6" s="1"/>
  <c r="AJ167" i="6"/>
  <c r="AK167" i="6" s="1"/>
  <c r="AL167" i="6" s="1"/>
  <c r="AJ324" i="6"/>
  <c r="AK324" i="6" s="1"/>
  <c r="AL324" i="6" s="1"/>
  <c r="AJ594" i="6"/>
  <c r="AK594" i="6" s="1"/>
  <c r="AL594" i="6" s="1"/>
  <c r="AJ277" i="6"/>
  <c r="AK277" i="6" s="1"/>
  <c r="AL277" i="6" s="1"/>
  <c r="AJ325" i="6"/>
  <c r="AK325" i="6" s="1"/>
  <c r="AL325" i="6" s="1"/>
  <c r="AJ334" i="6"/>
  <c r="AK334" i="6" s="1"/>
  <c r="AL334" i="6" s="1"/>
  <c r="AJ302" i="6"/>
  <c r="AK302" i="6" s="1"/>
  <c r="AL302" i="6" s="1"/>
  <c r="AJ326" i="6"/>
  <c r="AK326" i="6" s="1"/>
  <c r="AL326" i="6" s="1"/>
  <c r="AJ614" i="6"/>
  <c r="AK614" i="6" s="1"/>
  <c r="AL614" i="6" s="1"/>
  <c r="AJ303" i="6"/>
  <c r="AK303" i="6" s="1"/>
  <c r="AL303" i="6" s="1"/>
  <c r="AJ327" i="6"/>
  <c r="AK327" i="6" s="1"/>
  <c r="AL327" i="6" s="1"/>
  <c r="AJ615" i="6"/>
  <c r="AK615" i="6" s="1"/>
  <c r="AL615" i="6" s="1"/>
  <c r="AJ328" i="6"/>
  <c r="AK328" i="6" s="1"/>
  <c r="AL328" i="6" s="1"/>
  <c r="AJ323" i="6"/>
  <c r="AK323" i="6" s="1"/>
  <c r="AL323" i="6" s="1"/>
  <c r="AJ168" i="6"/>
  <c r="AK168" i="6" s="1"/>
  <c r="AL168" i="6" s="1"/>
  <c r="AJ227" i="6"/>
  <c r="AK227" i="6" s="1"/>
  <c r="AL227" i="6" s="1"/>
  <c r="AJ601" i="6"/>
  <c r="AK601" i="6" s="1"/>
  <c r="AL601" i="6" s="1"/>
  <c r="AJ611" i="6"/>
  <c r="AK611" i="6" s="1"/>
  <c r="AL611" i="6" s="1"/>
  <c r="AJ322" i="6"/>
  <c r="AK322" i="6" s="1"/>
  <c r="AL322" i="6" s="1"/>
  <c r="AJ593" i="6"/>
  <c r="AK593" i="6" s="1"/>
  <c r="AL593" i="6" s="1"/>
  <c r="Z16" i="6"/>
  <c r="AD16" i="6" s="1"/>
  <c r="AJ240" i="6"/>
  <c r="AK240" i="6" s="1"/>
  <c r="AL240" i="6" s="1"/>
  <c r="AJ488" i="6"/>
  <c r="AK488" i="6" s="1"/>
  <c r="AL488" i="6" s="1"/>
  <c r="AJ476" i="6"/>
  <c r="AK476" i="6" s="1"/>
  <c r="AL476" i="6" s="1"/>
  <c r="AJ224" i="6"/>
  <c r="AK224" i="6" s="1"/>
  <c r="AL224" i="6" s="1"/>
  <c r="AJ400" i="6"/>
  <c r="AK400" i="6" s="1"/>
  <c r="AL400" i="6" s="1"/>
  <c r="AJ477" i="6"/>
  <c r="AK477" i="6" s="1"/>
  <c r="AL477" i="6" s="1"/>
  <c r="AJ359" i="6"/>
  <c r="AK359" i="6" s="1"/>
  <c r="AL359" i="6" s="1"/>
  <c r="AJ624" i="6"/>
  <c r="AK624" i="6" s="1"/>
  <c r="AL624" i="6" s="1"/>
  <c r="AJ628" i="6"/>
  <c r="AK628" i="6" s="1"/>
  <c r="AL628" i="6" s="1"/>
  <c r="M49" i="3" s="1"/>
  <c r="AJ627" i="6"/>
  <c r="AK627" i="6" s="1"/>
  <c r="AL627" i="6" s="1"/>
  <c r="M48" i="3" s="1"/>
  <c r="AJ626" i="6"/>
  <c r="AK626" i="6" s="1"/>
  <c r="AL626" i="6" s="1"/>
  <c r="M47" i="3" s="1"/>
  <c r="AJ625" i="6"/>
  <c r="AK625" i="6" s="1"/>
  <c r="AL625" i="6" s="1"/>
  <c r="M46" i="3" s="1"/>
  <c r="N46" i="3" s="1"/>
  <c r="AJ623" i="6"/>
  <c r="AK623" i="6" s="1"/>
  <c r="AL623" i="6" s="1"/>
  <c r="AJ622" i="6"/>
  <c r="AK622" i="6" s="1"/>
  <c r="AL622" i="6" s="1"/>
  <c r="AJ629" i="6"/>
  <c r="AK629" i="6" s="1"/>
  <c r="AL629" i="6" s="1"/>
  <c r="M50" i="3" s="1"/>
  <c r="I47" i="3"/>
  <c r="K47" i="3" s="1"/>
  <c r="I45" i="3"/>
  <c r="K45" i="3" s="1"/>
  <c r="I46" i="3"/>
  <c r="I43" i="3"/>
  <c r="K43" i="3" s="1"/>
  <c r="I44" i="3"/>
  <c r="K44" i="3" s="1"/>
  <c r="I50" i="3"/>
  <c r="K50" i="3" s="1"/>
  <c r="I49" i="3"/>
  <c r="K49" i="3" s="1"/>
  <c r="I48" i="3"/>
  <c r="K48" i="3" s="1"/>
  <c r="AJ142" i="6"/>
  <c r="AK142" i="6" s="1"/>
  <c r="AL142" i="6" s="1"/>
  <c r="AJ143" i="6"/>
  <c r="AK143" i="6" s="1"/>
  <c r="AL143" i="6" s="1"/>
  <c r="AJ349" i="6"/>
  <c r="AK349" i="6" s="1"/>
  <c r="AL349" i="6" s="1"/>
  <c r="AJ55" i="6"/>
  <c r="AK55" i="6" s="1"/>
  <c r="AL55" i="6" s="1"/>
  <c r="AJ22" i="6"/>
  <c r="AK22" i="6" s="1"/>
  <c r="AL22" i="6" s="1"/>
  <c r="AJ30" i="6"/>
  <c r="AK30" i="6" s="1"/>
  <c r="AL30" i="6" s="1"/>
  <c r="AJ38" i="6"/>
  <c r="AK38" i="6" s="1"/>
  <c r="AL38" i="6" s="1"/>
  <c r="AJ46" i="6"/>
  <c r="AK46" i="6" s="1"/>
  <c r="AL46" i="6" s="1"/>
  <c r="AJ54" i="6"/>
  <c r="AK54" i="6" s="1"/>
  <c r="AL54" i="6" s="1"/>
  <c r="AJ71" i="6"/>
  <c r="AK71" i="6" s="1"/>
  <c r="AL71" i="6" s="1"/>
  <c r="AJ87" i="6"/>
  <c r="AK87" i="6" s="1"/>
  <c r="AL87" i="6" s="1"/>
  <c r="AJ111" i="6"/>
  <c r="AK111" i="6" s="1"/>
  <c r="AL111" i="6" s="1"/>
  <c r="AJ119" i="6"/>
  <c r="AK119" i="6" s="1"/>
  <c r="AL119" i="6" s="1"/>
  <c r="AJ127" i="6"/>
  <c r="AK127" i="6" s="1"/>
  <c r="AL127" i="6" s="1"/>
  <c r="AJ135" i="6"/>
  <c r="AK135" i="6" s="1"/>
  <c r="AL135" i="6" s="1"/>
  <c r="AJ145" i="6"/>
  <c r="AK145" i="6" s="1"/>
  <c r="AL145" i="6" s="1"/>
  <c r="AJ153" i="6"/>
  <c r="AK153" i="6" s="1"/>
  <c r="AL153" i="6" s="1"/>
  <c r="AJ161" i="6"/>
  <c r="AK161" i="6" s="1"/>
  <c r="AL161" i="6" s="1"/>
  <c r="AJ177" i="6"/>
  <c r="AK177" i="6" s="1"/>
  <c r="AL177" i="6" s="1"/>
  <c r="AJ185" i="6"/>
  <c r="AK185" i="6" s="1"/>
  <c r="AL185" i="6" s="1"/>
  <c r="AJ193" i="6"/>
  <c r="AK193" i="6" s="1"/>
  <c r="AL193" i="6" s="1"/>
  <c r="AJ201" i="6"/>
  <c r="AK201" i="6" s="1"/>
  <c r="AL201" i="6" s="1"/>
  <c r="AJ209" i="6"/>
  <c r="AK209" i="6" s="1"/>
  <c r="AL209" i="6" s="1"/>
  <c r="AJ217" i="6"/>
  <c r="AK217" i="6" s="1"/>
  <c r="AL217" i="6" s="1"/>
  <c r="AJ226" i="6"/>
  <c r="AK226" i="6" s="1"/>
  <c r="AL226" i="6" s="1"/>
  <c r="AJ234" i="6"/>
  <c r="AK234" i="6" s="1"/>
  <c r="AL234" i="6" s="1"/>
  <c r="AJ244" i="6"/>
  <c r="AK244" i="6" s="1"/>
  <c r="AL244" i="6" s="1"/>
  <c r="AJ252" i="6"/>
  <c r="AK252" i="6" s="1"/>
  <c r="AL252" i="6" s="1"/>
  <c r="AJ23" i="6"/>
  <c r="AK23" i="6" s="1"/>
  <c r="AL23" i="6" s="1"/>
  <c r="AJ31" i="6"/>
  <c r="AK31" i="6" s="1"/>
  <c r="AL31" i="6" s="1"/>
  <c r="AJ39" i="6"/>
  <c r="AK39" i="6" s="1"/>
  <c r="AL39" i="6" s="1"/>
  <c r="AJ47" i="6"/>
  <c r="AK47" i="6" s="1"/>
  <c r="AL47" i="6" s="1"/>
  <c r="AJ72" i="6"/>
  <c r="AK72" i="6" s="1"/>
  <c r="AL72" i="6" s="1"/>
  <c r="AJ88" i="6"/>
  <c r="AK88" i="6" s="1"/>
  <c r="AL88" i="6" s="1"/>
  <c r="AJ112" i="6"/>
  <c r="AK112" i="6" s="1"/>
  <c r="AL112" i="6" s="1"/>
  <c r="AJ120" i="6"/>
  <c r="AK120" i="6" s="1"/>
  <c r="AL120" i="6" s="1"/>
  <c r="AJ128" i="6"/>
  <c r="AK128" i="6" s="1"/>
  <c r="AL128" i="6" s="1"/>
  <c r="AJ146" i="6"/>
  <c r="AK146" i="6" s="1"/>
  <c r="AL146" i="6" s="1"/>
  <c r="AJ162" i="6"/>
  <c r="AK162" i="6" s="1"/>
  <c r="AL162" i="6" s="1"/>
  <c r="AJ178" i="6"/>
  <c r="AK178" i="6" s="1"/>
  <c r="AL178" i="6" s="1"/>
  <c r="AJ186" i="6"/>
  <c r="AK186" i="6" s="1"/>
  <c r="AL186" i="6" s="1"/>
  <c r="AJ194" i="6"/>
  <c r="AK194" i="6" s="1"/>
  <c r="AL194" i="6" s="1"/>
  <c r="AJ210" i="6"/>
  <c r="AK210" i="6" s="1"/>
  <c r="AL210" i="6" s="1"/>
  <c r="AJ218" i="6"/>
  <c r="AK218" i="6" s="1"/>
  <c r="AL218" i="6" s="1"/>
  <c r="AJ24" i="6"/>
  <c r="AK24" i="6" s="1"/>
  <c r="AL24" i="6" s="1"/>
  <c r="AJ32" i="6"/>
  <c r="AK32" i="6" s="1"/>
  <c r="AL32" i="6" s="1"/>
  <c r="AJ40" i="6"/>
  <c r="AK40" i="6" s="1"/>
  <c r="AL40" i="6" s="1"/>
  <c r="AJ48" i="6"/>
  <c r="AK48" i="6" s="1"/>
  <c r="AL48" i="6" s="1"/>
  <c r="AJ73" i="6"/>
  <c r="AK73" i="6" s="1"/>
  <c r="AL73" i="6" s="1"/>
  <c r="AJ89" i="6"/>
  <c r="AK89" i="6" s="1"/>
  <c r="AL89" i="6" s="1"/>
  <c r="AJ121" i="6"/>
  <c r="AK121" i="6" s="1"/>
  <c r="AL121" i="6" s="1"/>
  <c r="AJ129" i="6"/>
  <c r="AK129" i="6" s="1"/>
  <c r="AL129" i="6" s="1"/>
  <c r="AJ147" i="6"/>
  <c r="AK147" i="6" s="1"/>
  <c r="AL147" i="6" s="1"/>
  <c r="AJ163" i="6"/>
  <c r="AK163" i="6" s="1"/>
  <c r="AL163" i="6" s="1"/>
  <c r="AJ171" i="6"/>
  <c r="AK171" i="6" s="1"/>
  <c r="AL171" i="6" s="1"/>
  <c r="AJ179" i="6"/>
  <c r="AK179" i="6" s="1"/>
  <c r="AL179" i="6" s="1"/>
  <c r="AJ187" i="6"/>
  <c r="AK187" i="6" s="1"/>
  <c r="AL187" i="6" s="1"/>
  <c r="AJ203" i="6"/>
  <c r="AK203" i="6" s="1"/>
  <c r="AL203" i="6" s="1"/>
  <c r="AJ211" i="6"/>
  <c r="AK211" i="6" s="1"/>
  <c r="AL211" i="6" s="1"/>
  <c r="AJ219" i="6"/>
  <c r="AK219" i="6" s="1"/>
  <c r="AL219" i="6" s="1"/>
  <c r="AJ236" i="6"/>
  <c r="AK236" i="6" s="1"/>
  <c r="AL236" i="6" s="1"/>
  <c r="AJ246" i="6"/>
  <c r="AK246" i="6" s="1"/>
  <c r="AL246" i="6" s="1"/>
  <c r="AJ17" i="6"/>
  <c r="AK17" i="6" s="1"/>
  <c r="AL17" i="6" s="1"/>
  <c r="AJ25" i="6"/>
  <c r="AK25" i="6" s="1"/>
  <c r="AL25" i="6" s="1"/>
  <c r="AJ33" i="6"/>
  <c r="AK33" i="6" s="1"/>
  <c r="AL33" i="6" s="1"/>
  <c r="AJ41" i="6"/>
  <c r="AK41" i="6" s="1"/>
  <c r="AL41" i="6" s="1"/>
  <c r="AJ49" i="6"/>
  <c r="AK49" i="6" s="1"/>
  <c r="AL49" i="6" s="1"/>
  <c r="AJ90" i="6"/>
  <c r="AK90" i="6" s="1"/>
  <c r="AL90" i="6" s="1"/>
  <c r="AJ98" i="6"/>
  <c r="AK98" i="6" s="1"/>
  <c r="AL98" i="6" s="1"/>
  <c r="AJ114" i="6"/>
  <c r="AK114" i="6" s="1"/>
  <c r="AL114" i="6" s="1"/>
  <c r="AJ122" i="6"/>
  <c r="AK122" i="6" s="1"/>
  <c r="AL122" i="6" s="1"/>
  <c r="AJ138" i="6"/>
  <c r="AK138" i="6" s="1"/>
  <c r="AL138" i="6" s="1"/>
  <c r="AJ164" i="6"/>
  <c r="AK164" i="6" s="1"/>
  <c r="AL164" i="6" s="1"/>
  <c r="AJ188" i="6"/>
  <c r="AK188" i="6" s="1"/>
  <c r="AL188" i="6" s="1"/>
  <c r="AJ196" i="6"/>
  <c r="AK196" i="6" s="1"/>
  <c r="AL196" i="6" s="1"/>
  <c r="AJ204" i="6"/>
  <c r="AK204" i="6" s="1"/>
  <c r="AL204" i="6" s="1"/>
  <c r="AJ212" i="6"/>
  <c r="AK212" i="6" s="1"/>
  <c r="AL212" i="6" s="1"/>
  <c r="AJ220" i="6"/>
  <c r="AK220" i="6" s="1"/>
  <c r="AL220" i="6" s="1"/>
  <c r="AJ237" i="6"/>
  <c r="AK237" i="6" s="1"/>
  <c r="AL237" i="6" s="1"/>
  <c r="AJ247" i="6"/>
  <c r="AK247" i="6" s="1"/>
  <c r="AL247" i="6" s="1"/>
  <c r="AJ18" i="6"/>
  <c r="AK18" i="6" s="1"/>
  <c r="AL18" i="6" s="1"/>
  <c r="AJ26" i="6"/>
  <c r="AK26" i="6" s="1"/>
  <c r="AL26" i="6" s="1"/>
  <c r="AJ34" i="6"/>
  <c r="AK34" i="6" s="1"/>
  <c r="AL34" i="6" s="1"/>
  <c r="AJ42" i="6"/>
  <c r="AK42" i="6" s="1"/>
  <c r="AL42" i="6" s="1"/>
  <c r="AJ50" i="6"/>
  <c r="AK50" i="6" s="1"/>
  <c r="AL50" i="6" s="1"/>
  <c r="AJ59" i="6"/>
  <c r="AK59" i="6" s="1"/>
  <c r="AL59" i="6" s="1"/>
  <c r="AJ91" i="6"/>
  <c r="AK91" i="6" s="1"/>
  <c r="AL91" i="6" s="1"/>
  <c r="AJ99" i="6"/>
  <c r="AK99" i="6" s="1"/>
  <c r="AL99" i="6" s="1"/>
  <c r="AJ115" i="6"/>
  <c r="AK115" i="6" s="1"/>
  <c r="AL115" i="6" s="1"/>
  <c r="AJ131" i="6"/>
  <c r="AK131" i="6" s="1"/>
  <c r="AL131" i="6" s="1"/>
  <c r="AJ139" i="6"/>
  <c r="AK139" i="6" s="1"/>
  <c r="AL139" i="6" s="1"/>
  <c r="AJ149" i="6"/>
  <c r="AK149" i="6" s="1"/>
  <c r="AL149" i="6" s="1"/>
  <c r="AJ173" i="6"/>
  <c r="AK173" i="6" s="1"/>
  <c r="AL173" i="6" s="1"/>
  <c r="AJ181" i="6"/>
  <c r="AK181" i="6" s="1"/>
  <c r="AL181" i="6" s="1"/>
  <c r="AJ189" i="6"/>
  <c r="AK189" i="6" s="1"/>
  <c r="AL189" i="6" s="1"/>
  <c r="AJ197" i="6"/>
  <c r="AK197" i="6" s="1"/>
  <c r="AL197" i="6" s="1"/>
  <c r="AJ205" i="6"/>
  <c r="AK205" i="6" s="1"/>
  <c r="AL205" i="6" s="1"/>
  <c r="AJ213" i="6"/>
  <c r="AK213" i="6" s="1"/>
  <c r="AL213" i="6" s="1"/>
  <c r="AJ221" i="6"/>
  <c r="AK221" i="6" s="1"/>
  <c r="AL221" i="6" s="1"/>
  <c r="AJ248" i="6"/>
  <c r="AK248" i="6" s="1"/>
  <c r="AL248" i="6" s="1"/>
  <c r="AJ19" i="6"/>
  <c r="AK19" i="6" s="1"/>
  <c r="AL19" i="6" s="1"/>
  <c r="AJ27" i="6"/>
  <c r="AK27" i="6" s="1"/>
  <c r="AL27" i="6" s="1"/>
  <c r="AJ35" i="6"/>
  <c r="AK35" i="6" s="1"/>
  <c r="AL35" i="6" s="1"/>
  <c r="AJ43" i="6"/>
  <c r="AK43" i="6" s="1"/>
  <c r="AL43" i="6" s="1"/>
  <c r="AJ92" i="6"/>
  <c r="AK92" i="6" s="1"/>
  <c r="AL92" i="6" s="1"/>
  <c r="AJ108" i="6"/>
  <c r="AK108" i="6" s="1"/>
  <c r="AL108" i="6" s="1"/>
  <c r="AJ116" i="6"/>
  <c r="AK116" i="6" s="1"/>
  <c r="AL116" i="6" s="1"/>
  <c r="AJ132" i="6"/>
  <c r="AK132" i="6" s="1"/>
  <c r="AL132" i="6" s="1"/>
  <c r="AJ140" i="6"/>
  <c r="AK140" i="6" s="1"/>
  <c r="AL140" i="6" s="1"/>
  <c r="AJ150" i="6"/>
  <c r="AK150" i="6" s="1"/>
  <c r="AL150" i="6" s="1"/>
  <c r="AJ158" i="6"/>
  <c r="AK158" i="6" s="1"/>
  <c r="AL158" i="6" s="1"/>
  <c r="AJ174" i="6"/>
  <c r="AK174" i="6" s="1"/>
  <c r="AL174" i="6" s="1"/>
  <c r="AJ182" i="6"/>
  <c r="AK182" i="6" s="1"/>
  <c r="AL182" i="6" s="1"/>
  <c r="AJ198" i="6"/>
  <c r="AK198" i="6" s="1"/>
  <c r="AL198" i="6" s="1"/>
  <c r="AJ206" i="6"/>
  <c r="AK206" i="6" s="1"/>
  <c r="AL206" i="6" s="1"/>
  <c r="AJ214" i="6"/>
  <c r="AK214" i="6" s="1"/>
  <c r="AL214" i="6" s="1"/>
  <c r="AJ222" i="6"/>
  <c r="AK222" i="6" s="1"/>
  <c r="AL222" i="6" s="1"/>
  <c r="AJ249" i="6"/>
  <c r="AK249" i="6" s="1"/>
  <c r="AL249" i="6" s="1"/>
  <c r="AJ20" i="6"/>
  <c r="AK20" i="6" s="1"/>
  <c r="AL20" i="6" s="1"/>
  <c r="AJ28" i="6"/>
  <c r="AK28" i="6" s="1"/>
  <c r="AL28" i="6" s="1"/>
  <c r="AJ36" i="6"/>
  <c r="AK36" i="6" s="1"/>
  <c r="AL36" i="6" s="1"/>
  <c r="AJ44" i="6"/>
  <c r="AK44" i="6" s="1"/>
  <c r="AL44" i="6" s="1"/>
  <c r="AJ52" i="6"/>
  <c r="AK52" i="6" s="1"/>
  <c r="AL52" i="6" s="1"/>
  <c r="AJ77" i="6"/>
  <c r="AK77" i="6" s="1"/>
  <c r="AL77" i="6" s="1"/>
  <c r="AJ85" i="6"/>
  <c r="AK85" i="6" s="1"/>
  <c r="AL85" i="6" s="1"/>
  <c r="AJ101" i="6"/>
  <c r="AK101" i="6" s="1"/>
  <c r="AL101" i="6" s="1"/>
  <c r="AJ117" i="6"/>
  <c r="AK117" i="6" s="1"/>
  <c r="AL117" i="6" s="1"/>
  <c r="AJ133" i="6"/>
  <c r="AK133" i="6" s="1"/>
  <c r="AL133" i="6" s="1"/>
  <c r="AJ151" i="6"/>
  <c r="AK151" i="6" s="1"/>
  <c r="AL151" i="6" s="1"/>
  <c r="AJ159" i="6"/>
  <c r="AK159" i="6" s="1"/>
  <c r="AL159" i="6" s="1"/>
  <c r="AJ175" i="6"/>
  <c r="AK175" i="6" s="1"/>
  <c r="AL175" i="6" s="1"/>
  <c r="AJ183" i="6"/>
  <c r="AK183" i="6" s="1"/>
  <c r="AL183" i="6" s="1"/>
  <c r="AJ191" i="6"/>
  <c r="AK191" i="6" s="1"/>
  <c r="AL191" i="6" s="1"/>
  <c r="AJ199" i="6"/>
  <c r="AK199" i="6" s="1"/>
  <c r="AL199" i="6" s="1"/>
  <c r="AJ207" i="6"/>
  <c r="AK207" i="6" s="1"/>
  <c r="AL207" i="6" s="1"/>
  <c r="AJ215" i="6"/>
  <c r="AK215" i="6" s="1"/>
  <c r="AL215" i="6" s="1"/>
  <c r="AJ223" i="6"/>
  <c r="AK223" i="6" s="1"/>
  <c r="AL223" i="6" s="1"/>
  <c r="AJ242" i="6"/>
  <c r="AK242" i="6" s="1"/>
  <c r="AL242" i="6" s="1"/>
  <c r="AJ250" i="6"/>
  <c r="AK250" i="6" s="1"/>
  <c r="AL250" i="6" s="1"/>
  <c r="AJ126" i="6"/>
  <c r="AK126" i="6" s="1"/>
  <c r="AL126" i="6" s="1"/>
  <c r="AJ192" i="6"/>
  <c r="AK192" i="6" s="1"/>
  <c r="AL192" i="6" s="1"/>
  <c r="AJ243" i="6"/>
  <c r="AK243" i="6" s="1"/>
  <c r="AL243" i="6" s="1"/>
  <c r="AJ260" i="6"/>
  <c r="AK260" i="6" s="1"/>
  <c r="AL260" i="6" s="1"/>
  <c r="AJ268" i="6"/>
  <c r="AK268" i="6" s="1"/>
  <c r="AL268" i="6" s="1"/>
  <c r="AJ292" i="6"/>
  <c r="AK292" i="6" s="1"/>
  <c r="AL292" i="6" s="1"/>
  <c r="AJ300" i="6"/>
  <c r="AK300" i="6" s="1"/>
  <c r="AL300" i="6" s="1"/>
  <c r="AJ316" i="6"/>
  <c r="AK316" i="6" s="1"/>
  <c r="AL316" i="6" s="1"/>
  <c r="AJ333" i="6"/>
  <c r="AK333" i="6" s="1"/>
  <c r="AL333" i="6" s="1"/>
  <c r="AJ341" i="6"/>
  <c r="AK341" i="6" s="1"/>
  <c r="AL341" i="6" s="1"/>
  <c r="AJ358" i="6"/>
  <c r="AK358" i="6" s="1"/>
  <c r="AL358" i="6" s="1"/>
  <c r="AJ367" i="6"/>
  <c r="AK367" i="6" s="1"/>
  <c r="AL367" i="6" s="1"/>
  <c r="AJ375" i="6"/>
  <c r="AK375" i="6" s="1"/>
  <c r="AL375" i="6" s="1"/>
  <c r="AJ383" i="6"/>
  <c r="AK383" i="6" s="1"/>
  <c r="AL383" i="6" s="1"/>
  <c r="AJ399" i="6"/>
  <c r="AK399" i="6" s="1"/>
  <c r="AL399" i="6" s="1"/>
  <c r="AJ408" i="6"/>
  <c r="AK408" i="6" s="1"/>
  <c r="AL408" i="6" s="1"/>
  <c r="AJ416" i="6"/>
  <c r="AK416" i="6" s="1"/>
  <c r="AL416" i="6" s="1"/>
  <c r="AJ424" i="6"/>
  <c r="AK424" i="6" s="1"/>
  <c r="AL424" i="6" s="1"/>
  <c r="AJ432" i="6"/>
  <c r="AK432" i="6" s="1"/>
  <c r="AL432" i="6" s="1"/>
  <c r="AJ440" i="6"/>
  <c r="AK440" i="6" s="1"/>
  <c r="AL440" i="6" s="1"/>
  <c r="AJ448" i="6"/>
  <c r="AK448" i="6" s="1"/>
  <c r="AL448" i="6" s="1"/>
  <c r="AJ464" i="6"/>
  <c r="AK464" i="6" s="1"/>
  <c r="AL464" i="6" s="1"/>
  <c r="AJ472" i="6"/>
  <c r="AK472" i="6" s="1"/>
  <c r="AL472" i="6" s="1"/>
  <c r="AJ482" i="6"/>
  <c r="AK482" i="6" s="1"/>
  <c r="AL482" i="6" s="1"/>
  <c r="AJ499" i="6"/>
  <c r="AK499" i="6" s="1"/>
  <c r="AL499" i="6" s="1"/>
  <c r="AJ515" i="6"/>
  <c r="AK515" i="6" s="1"/>
  <c r="AL515" i="6" s="1"/>
  <c r="AJ523" i="6"/>
  <c r="AK523" i="6" s="1"/>
  <c r="AL523" i="6" s="1"/>
  <c r="AJ531" i="6"/>
  <c r="AK531" i="6" s="1"/>
  <c r="AL531" i="6" s="1"/>
  <c r="AJ539" i="6"/>
  <c r="AK539" i="6" s="1"/>
  <c r="AL539" i="6" s="1"/>
  <c r="AJ555" i="6"/>
  <c r="AK555" i="6" s="1"/>
  <c r="AL555" i="6" s="1"/>
  <c r="AJ563" i="6"/>
  <c r="AK563" i="6" s="1"/>
  <c r="AL563" i="6" s="1"/>
  <c r="AJ579" i="6"/>
  <c r="AK579" i="6" s="1"/>
  <c r="AL579" i="6" s="1"/>
  <c r="AJ587" i="6"/>
  <c r="AK587" i="6" s="1"/>
  <c r="AL587" i="6" s="1"/>
  <c r="AJ595" i="6"/>
  <c r="AK595" i="6" s="1"/>
  <c r="AL595" i="6" s="1"/>
  <c r="AJ612" i="6"/>
  <c r="AK612" i="6" s="1"/>
  <c r="AL612" i="6" s="1"/>
  <c r="AJ613" i="6"/>
  <c r="AK613" i="6" s="1"/>
  <c r="AL613" i="6" s="1"/>
  <c r="AJ610" i="6"/>
  <c r="AK610" i="6" s="1"/>
  <c r="AL610" i="6" s="1"/>
  <c r="AJ315" i="6"/>
  <c r="AK315" i="6" s="1"/>
  <c r="AL315" i="6" s="1"/>
  <c r="AJ374" i="6"/>
  <c r="AK374" i="6" s="1"/>
  <c r="AL374" i="6" s="1"/>
  <c r="AJ423" i="6"/>
  <c r="AK423" i="6" s="1"/>
  <c r="AL423" i="6" s="1"/>
  <c r="AJ481" i="6"/>
  <c r="AK481" i="6" s="1"/>
  <c r="AL481" i="6" s="1"/>
  <c r="AJ538" i="6"/>
  <c r="AK538" i="6" s="1"/>
  <c r="AL538" i="6" s="1"/>
  <c r="AJ70" i="6"/>
  <c r="AK70" i="6" s="1"/>
  <c r="AL70" i="6" s="1"/>
  <c r="AJ134" i="6"/>
  <c r="AK134" i="6" s="1"/>
  <c r="AL134" i="6" s="1"/>
  <c r="AJ245" i="6"/>
  <c r="AK245" i="6" s="1"/>
  <c r="AL245" i="6" s="1"/>
  <c r="AJ261" i="6"/>
  <c r="AK261" i="6" s="1"/>
  <c r="AL261" i="6" s="1"/>
  <c r="AJ285" i="6"/>
  <c r="AK285" i="6" s="1"/>
  <c r="AL285" i="6" s="1"/>
  <c r="AJ293" i="6"/>
  <c r="AK293" i="6" s="1"/>
  <c r="AL293" i="6" s="1"/>
  <c r="AJ309" i="6"/>
  <c r="AK309" i="6" s="1"/>
  <c r="AL309" i="6" s="1"/>
  <c r="AJ317" i="6"/>
  <c r="AK317" i="6" s="1"/>
  <c r="AL317" i="6" s="1"/>
  <c r="AJ342" i="6"/>
  <c r="AK342" i="6" s="1"/>
  <c r="AL342" i="6" s="1"/>
  <c r="AJ351" i="6"/>
  <c r="AK351" i="6" s="1"/>
  <c r="AL351" i="6" s="1"/>
  <c r="AJ360" i="6"/>
  <c r="AK360" i="6" s="1"/>
  <c r="AL360" i="6" s="1"/>
  <c r="AJ368" i="6"/>
  <c r="AK368" i="6" s="1"/>
  <c r="AL368" i="6" s="1"/>
  <c r="AJ376" i="6"/>
  <c r="AK376" i="6" s="1"/>
  <c r="AL376" i="6" s="1"/>
  <c r="AJ384" i="6"/>
  <c r="AK384" i="6" s="1"/>
  <c r="AL384" i="6" s="1"/>
  <c r="AJ392" i="6"/>
  <c r="AK392" i="6" s="1"/>
  <c r="AL392" i="6" s="1"/>
  <c r="AJ401" i="6"/>
  <c r="AK401" i="6" s="1"/>
  <c r="AL401" i="6" s="1"/>
  <c r="AJ409" i="6"/>
  <c r="AK409" i="6" s="1"/>
  <c r="AL409" i="6" s="1"/>
  <c r="AJ417" i="6"/>
  <c r="AK417" i="6" s="1"/>
  <c r="AL417" i="6" s="1"/>
  <c r="AJ425" i="6"/>
  <c r="AK425" i="6" s="1"/>
  <c r="AL425" i="6" s="1"/>
  <c r="AJ433" i="6"/>
  <c r="AK433" i="6" s="1"/>
  <c r="AL433" i="6" s="1"/>
  <c r="AJ441" i="6"/>
  <c r="AK441" i="6" s="1"/>
  <c r="AL441" i="6" s="1"/>
  <c r="AJ449" i="6"/>
  <c r="AK449" i="6" s="1"/>
  <c r="AL449" i="6" s="1"/>
  <c r="AJ457" i="6"/>
  <c r="AK457" i="6" s="1"/>
  <c r="AL457" i="6" s="1"/>
  <c r="AJ465" i="6"/>
  <c r="AK465" i="6" s="1"/>
  <c r="AL465" i="6" s="1"/>
  <c r="AJ473" i="6"/>
  <c r="AK473" i="6" s="1"/>
  <c r="AL473" i="6" s="1"/>
  <c r="AJ492" i="6"/>
  <c r="AK492" i="6" s="1"/>
  <c r="AL492" i="6" s="1"/>
  <c r="AJ500" i="6"/>
  <c r="AK500" i="6" s="1"/>
  <c r="AL500" i="6" s="1"/>
  <c r="AJ508" i="6"/>
  <c r="AK508" i="6" s="1"/>
  <c r="AL508" i="6" s="1"/>
  <c r="AJ524" i="6"/>
  <c r="AK524" i="6" s="1"/>
  <c r="AL524" i="6" s="1"/>
  <c r="AJ540" i="6"/>
  <c r="AK540" i="6" s="1"/>
  <c r="AL540" i="6" s="1"/>
  <c r="AJ556" i="6"/>
  <c r="AK556" i="6" s="1"/>
  <c r="AL556" i="6" s="1"/>
  <c r="AJ564" i="6"/>
  <c r="AK564" i="6" s="1"/>
  <c r="AL564" i="6" s="1"/>
  <c r="AJ588" i="6"/>
  <c r="AK588" i="6" s="1"/>
  <c r="AL588" i="6" s="1"/>
  <c r="AJ596" i="6"/>
  <c r="AK596" i="6" s="1"/>
  <c r="AL596" i="6" s="1"/>
  <c r="AJ605" i="6"/>
  <c r="AK605" i="6" s="1"/>
  <c r="AL605" i="6" s="1"/>
  <c r="AJ267" i="6"/>
  <c r="AK267" i="6" s="1"/>
  <c r="AL267" i="6" s="1"/>
  <c r="AJ447" i="6"/>
  <c r="AK447" i="6" s="1"/>
  <c r="AL447" i="6" s="1"/>
  <c r="AJ514" i="6"/>
  <c r="AK514" i="6" s="1"/>
  <c r="AL514" i="6" s="1"/>
  <c r="AJ586" i="6"/>
  <c r="AK586" i="6" s="1"/>
  <c r="AL586" i="6" s="1"/>
  <c r="AJ78" i="6"/>
  <c r="AK78" i="6" s="1"/>
  <c r="AL78" i="6" s="1"/>
  <c r="AJ144" i="6"/>
  <c r="AK144" i="6" s="1"/>
  <c r="AL144" i="6" s="1"/>
  <c r="AJ208" i="6"/>
  <c r="AK208" i="6" s="1"/>
  <c r="AL208" i="6" s="1"/>
  <c r="AJ251" i="6"/>
  <c r="AK251" i="6" s="1"/>
  <c r="AL251" i="6" s="1"/>
  <c r="AJ262" i="6"/>
  <c r="AK262" i="6" s="1"/>
  <c r="AL262" i="6" s="1"/>
  <c r="AJ278" i="6"/>
  <c r="AK278" i="6" s="1"/>
  <c r="AL278" i="6" s="1"/>
  <c r="AJ286" i="6"/>
  <c r="AK286" i="6" s="1"/>
  <c r="AL286" i="6" s="1"/>
  <c r="AJ294" i="6"/>
  <c r="AK294" i="6" s="1"/>
  <c r="AL294" i="6" s="1"/>
  <c r="AJ310" i="6"/>
  <c r="AK310" i="6" s="1"/>
  <c r="AL310" i="6" s="1"/>
  <c r="AJ318" i="6"/>
  <c r="AK318" i="6" s="1"/>
  <c r="AL318" i="6" s="1"/>
  <c r="AJ335" i="6"/>
  <c r="AK335" i="6" s="1"/>
  <c r="AL335" i="6" s="1"/>
  <c r="AJ343" i="6"/>
  <c r="AK343" i="6" s="1"/>
  <c r="AL343" i="6" s="1"/>
  <c r="AJ352" i="6"/>
  <c r="AK352" i="6" s="1"/>
  <c r="AL352" i="6" s="1"/>
  <c r="AJ361" i="6"/>
  <c r="AK361" i="6" s="1"/>
  <c r="AL361" i="6" s="1"/>
  <c r="AJ369" i="6"/>
  <c r="AK369" i="6" s="1"/>
  <c r="AL369" i="6" s="1"/>
  <c r="AJ377" i="6"/>
  <c r="AK377" i="6" s="1"/>
  <c r="AL377" i="6" s="1"/>
  <c r="AJ385" i="6"/>
  <c r="AK385" i="6" s="1"/>
  <c r="AL385" i="6" s="1"/>
  <c r="AJ393" i="6"/>
  <c r="AK393" i="6" s="1"/>
  <c r="AL393" i="6" s="1"/>
  <c r="AJ402" i="6"/>
  <c r="AK402" i="6" s="1"/>
  <c r="AL402" i="6" s="1"/>
  <c r="AJ410" i="6"/>
  <c r="AK410" i="6" s="1"/>
  <c r="AL410" i="6" s="1"/>
  <c r="AJ418" i="6"/>
  <c r="AK418" i="6" s="1"/>
  <c r="AL418" i="6" s="1"/>
  <c r="AJ426" i="6"/>
  <c r="AK426" i="6" s="1"/>
  <c r="AL426" i="6" s="1"/>
  <c r="AJ434" i="6"/>
  <c r="AK434" i="6" s="1"/>
  <c r="AL434" i="6" s="1"/>
  <c r="AJ442" i="6"/>
  <c r="AK442" i="6" s="1"/>
  <c r="AL442" i="6" s="1"/>
  <c r="AJ450" i="6"/>
  <c r="AK450" i="6" s="1"/>
  <c r="AL450" i="6" s="1"/>
  <c r="AJ458" i="6"/>
  <c r="AK458" i="6" s="1"/>
  <c r="AL458" i="6" s="1"/>
  <c r="AJ466" i="6"/>
  <c r="AK466" i="6" s="1"/>
  <c r="AL466" i="6" s="1"/>
  <c r="AJ474" i="6"/>
  <c r="AK474" i="6" s="1"/>
  <c r="AL474" i="6" s="1"/>
  <c r="AJ493" i="6"/>
  <c r="AK493" i="6" s="1"/>
  <c r="AL493" i="6" s="1"/>
  <c r="AJ501" i="6"/>
  <c r="AK501" i="6" s="1"/>
  <c r="AL501" i="6" s="1"/>
  <c r="AJ509" i="6"/>
  <c r="AK509" i="6" s="1"/>
  <c r="AL509" i="6" s="1"/>
  <c r="AJ525" i="6"/>
  <c r="AK525" i="6" s="1"/>
  <c r="AL525" i="6" s="1"/>
  <c r="AJ533" i="6"/>
  <c r="AK533" i="6" s="1"/>
  <c r="AL533" i="6" s="1"/>
  <c r="AJ541" i="6"/>
  <c r="AK541" i="6" s="1"/>
  <c r="AL541" i="6" s="1"/>
  <c r="AJ557" i="6"/>
  <c r="AK557" i="6" s="1"/>
  <c r="AL557" i="6" s="1"/>
  <c r="AJ581" i="6"/>
  <c r="AK581" i="6" s="1"/>
  <c r="AL581" i="6" s="1"/>
  <c r="AJ589" i="6"/>
  <c r="AK589" i="6" s="1"/>
  <c r="AL589" i="6" s="1"/>
  <c r="AJ597" i="6"/>
  <c r="AK597" i="6" s="1"/>
  <c r="AL597" i="6" s="1"/>
  <c r="AJ357" i="6"/>
  <c r="AK357" i="6" s="1"/>
  <c r="AL357" i="6" s="1"/>
  <c r="AJ407" i="6"/>
  <c r="AK407" i="6" s="1"/>
  <c r="AL407" i="6" s="1"/>
  <c r="AJ463" i="6"/>
  <c r="AK463" i="6" s="1"/>
  <c r="AL463" i="6" s="1"/>
  <c r="AJ522" i="6"/>
  <c r="AK522" i="6" s="1"/>
  <c r="AL522" i="6" s="1"/>
  <c r="AJ21" i="6"/>
  <c r="AK21" i="6" s="1"/>
  <c r="AL21" i="6" s="1"/>
  <c r="AJ86" i="6"/>
  <c r="AK86" i="6" s="1"/>
  <c r="AL86" i="6" s="1"/>
  <c r="AJ152" i="6"/>
  <c r="AK152" i="6" s="1"/>
  <c r="AL152" i="6" s="1"/>
  <c r="AJ263" i="6"/>
  <c r="AK263" i="6" s="1"/>
  <c r="AL263" i="6" s="1"/>
  <c r="AJ279" i="6"/>
  <c r="AK279" i="6" s="1"/>
  <c r="AL279" i="6" s="1"/>
  <c r="AJ287" i="6"/>
  <c r="AK287" i="6" s="1"/>
  <c r="AL287" i="6" s="1"/>
  <c r="AJ295" i="6"/>
  <c r="AK295" i="6" s="1"/>
  <c r="AL295" i="6" s="1"/>
  <c r="AJ311" i="6"/>
  <c r="AK311" i="6" s="1"/>
  <c r="AL311" i="6" s="1"/>
  <c r="AJ319" i="6"/>
  <c r="AK319" i="6" s="1"/>
  <c r="AL319" i="6" s="1"/>
  <c r="AJ336" i="6"/>
  <c r="AK336" i="6" s="1"/>
  <c r="AL336" i="6" s="1"/>
  <c r="AJ344" i="6"/>
  <c r="AK344" i="6" s="1"/>
  <c r="AL344" i="6" s="1"/>
  <c r="AJ353" i="6"/>
  <c r="AK353" i="6" s="1"/>
  <c r="AL353" i="6" s="1"/>
  <c r="AJ362" i="6"/>
  <c r="AK362" i="6" s="1"/>
  <c r="AL362" i="6" s="1"/>
  <c r="AJ370" i="6"/>
  <c r="AK370" i="6" s="1"/>
  <c r="AL370" i="6" s="1"/>
  <c r="AJ378" i="6"/>
  <c r="AK378" i="6" s="1"/>
  <c r="AL378" i="6" s="1"/>
  <c r="AJ386" i="6"/>
  <c r="AK386" i="6" s="1"/>
  <c r="AL386" i="6" s="1"/>
  <c r="AJ394" i="6"/>
  <c r="AK394" i="6" s="1"/>
  <c r="AL394" i="6" s="1"/>
  <c r="AJ403" i="6"/>
  <c r="AK403" i="6" s="1"/>
  <c r="AL403" i="6" s="1"/>
  <c r="AJ411" i="6"/>
  <c r="AK411" i="6" s="1"/>
  <c r="AL411" i="6" s="1"/>
  <c r="AJ419" i="6"/>
  <c r="AK419" i="6" s="1"/>
  <c r="AL419" i="6" s="1"/>
  <c r="AJ427" i="6"/>
  <c r="AK427" i="6" s="1"/>
  <c r="AL427" i="6" s="1"/>
  <c r="AJ435" i="6"/>
  <c r="AK435" i="6" s="1"/>
  <c r="AL435" i="6" s="1"/>
  <c r="AJ459" i="6"/>
  <c r="AK459" i="6" s="1"/>
  <c r="AL459" i="6" s="1"/>
  <c r="AJ467" i="6"/>
  <c r="AK467" i="6" s="1"/>
  <c r="AL467" i="6" s="1"/>
  <c r="AJ475" i="6"/>
  <c r="AK475" i="6" s="1"/>
  <c r="AL475" i="6" s="1"/>
  <c r="AJ485" i="6"/>
  <c r="AK485" i="6" s="1"/>
  <c r="AL485" i="6" s="1"/>
  <c r="AJ494" i="6"/>
  <c r="AK494" i="6" s="1"/>
  <c r="AL494" i="6" s="1"/>
  <c r="AJ502" i="6"/>
  <c r="AK502" i="6" s="1"/>
  <c r="AL502" i="6" s="1"/>
  <c r="AJ510" i="6"/>
  <c r="AK510" i="6" s="1"/>
  <c r="AL510" i="6" s="1"/>
  <c r="AJ518" i="6"/>
  <c r="AK518" i="6" s="1"/>
  <c r="AL518" i="6" s="1"/>
  <c r="AJ526" i="6"/>
  <c r="AK526" i="6" s="1"/>
  <c r="AL526" i="6" s="1"/>
  <c r="AJ534" i="6"/>
  <c r="AK534" i="6" s="1"/>
  <c r="AL534" i="6" s="1"/>
  <c r="AJ542" i="6"/>
  <c r="AK542" i="6" s="1"/>
  <c r="AL542" i="6" s="1"/>
  <c r="AJ558" i="6"/>
  <c r="AK558" i="6" s="1"/>
  <c r="AL558" i="6" s="1"/>
  <c r="AJ582" i="6"/>
  <c r="AK582" i="6" s="1"/>
  <c r="AL582" i="6" s="1"/>
  <c r="AJ590" i="6"/>
  <c r="AK590" i="6" s="1"/>
  <c r="AL590" i="6" s="1"/>
  <c r="AJ598" i="6"/>
  <c r="AK598" i="6" s="1"/>
  <c r="AL598" i="6" s="1"/>
  <c r="AJ617" i="6"/>
  <c r="AK617" i="6" s="1"/>
  <c r="AL617" i="6" s="1"/>
  <c r="AJ118" i="6"/>
  <c r="AK118" i="6" s="1"/>
  <c r="AL118" i="6" s="1"/>
  <c r="AJ307" i="6"/>
  <c r="AK307" i="6" s="1"/>
  <c r="AL307" i="6" s="1"/>
  <c r="AJ415" i="6"/>
  <c r="AK415" i="6" s="1"/>
  <c r="AL415" i="6" s="1"/>
  <c r="AJ471" i="6"/>
  <c r="AK471" i="6" s="1"/>
  <c r="AL471" i="6" s="1"/>
  <c r="AJ530" i="6"/>
  <c r="AK530" i="6" s="1"/>
  <c r="AL530" i="6" s="1"/>
  <c r="AJ578" i="6"/>
  <c r="AK578" i="6" s="1"/>
  <c r="AL578" i="6" s="1"/>
  <c r="AJ29" i="6"/>
  <c r="AK29" i="6" s="1"/>
  <c r="AL29" i="6" s="1"/>
  <c r="AJ160" i="6"/>
  <c r="AK160" i="6" s="1"/>
  <c r="AL160" i="6" s="1"/>
  <c r="AJ225" i="6"/>
  <c r="AK225" i="6" s="1"/>
  <c r="AL225" i="6" s="1"/>
  <c r="AJ256" i="6"/>
  <c r="AK256" i="6" s="1"/>
  <c r="AL256" i="6" s="1"/>
  <c r="AJ264" i="6"/>
  <c r="AK264" i="6" s="1"/>
  <c r="AL264" i="6" s="1"/>
  <c r="AJ272" i="6"/>
  <c r="AK272" i="6" s="1"/>
  <c r="AL272" i="6" s="1"/>
  <c r="AJ280" i="6"/>
  <c r="AK280" i="6" s="1"/>
  <c r="AL280" i="6" s="1"/>
  <c r="AJ288" i="6"/>
  <c r="AK288" i="6" s="1"/>
  <c r="AL288" i="6" s="1"/>
  <c r="AJ304" i="6"/>
  <c r="AK304" i="6" s="1"/>
  <c r="AL304" i="6" s="1"/>
  <c r="AJ320" i="6"/>
  <c r="AK320" i="6" s="1"/>
  <c r="AL320" i="6" s="1"/>
  <c r="AJ337" i="6"/>
  <c r="AK337" i="6" s="1"/>
  <c r="AL337" i="6" s="1"/>
  <c r="AJ345" i="6"/>
  <c r="AK345" i="6" s="1"/>
  <c r="AL345" i="6" s="1"/>
  <c r="AJ354" i="6"/>
  <c r="AK354" i="6" s="1"/>
  <c r="AL354" i="6" s="1"/>
  <c r="AJ363" i="6"/>
  <c r="AK363" i="6" s="1"/>
  <c r="AL363" i="6" s="1"/>
  <c r="AJ371" i="6"/>
  <c r="AK371" i="6" s="1"/>
  <c r="AL371" i="6" s="1"/>
  <c r="AJ379" i="6"/>
  <c r="AK379" i="6" s="1"/>
  <c r="AL379" i="6" s="1"/>
  <c r="AJ387" i="6"/>
  <c r="AK387" i="6" s="1"/>
  <c r="AL387" i="6" s="1"/>
  <c r="AJ395" i="6"/>
  <c r="AK395" i="6" s="1"/>
  <c r="AL395" i="6" s="1"/>
  <c r="AJ404" i="6"/>
  <c r="AK404" i="6" s="1"/>
  <c r="AL404" i="6" s="1"/>
  <c r="AJ412" i="6"/>
  <c r="AK412" i="6" s="1"/>
  <c r="AL412" i="6" s="1"/>
  <c r="AJ420" i="6"/>
  <c r="AK420" i="6" s="1"/>
  <c r="AL420" i="6" s="1"/>
  <c r="AJ428" i="6"/>
  <c r="AK428" i="6" s="1"/>
  <c r="AL428" i="6" s="1"/>
  <c r="AJ436" i="6"/>
  <c r="AK436" i="6" s="1"/>
  <c r="AL436" i="6" s="1"/>
  <c r="AJ444" i="6"/>
  <c r="AK444" i="6" s="1"/>
  <c r="AL444" i="6" s="1"/>
  <c r="AJ452" i="6"/>
  <c r="AK452" i="6" s="1"/>
  <c r="AL452" i="6" s="1"/>
  <c r="AJ468" i="6"/>
  <c r="AK468" i="6" s="1"/>
  <c r="AL468" i="6" s="1"/>
  <c r="AJ478" i="6"/>
  <c r="AK478" i="6" s="1"/>
  <c r="AL478" i="6" s="1"/>
  <c r="AJ486" i="6"/>
  <c r="AK486" i="6" s="1"/>
  <c r="AL486" i="6" s="1"/>
  <c r="AJ495" i="6"/>
  <c r="AK495" i="6" s="1"/>
  <c r="AL495" i="6" s="1"/>
  <c r="AJ503" i="6"/>
  <c r="AK503" i="6" s="1"/>
  <c r="AL503" i="6" s="1"/>
  <c r="AJ511" i="6"/>
  <c r="AK511" i="6" s="1"/>
  <c r="AL511" i="6" s="1"/>
  <c r="AJ519" i="6"/>
  <c r="AK519" i="6" s="1"/>
  <c r="AL519" i="6" s="1"/>
  <c r="AJ527" i="6"/>
  <c r="AK527" i="6" s="1"/>
  <c r="AL527" i="6" s="1"/>
  <c r="AJ543" i="6"/>
  <c r="AK543" i="6" s="1"/>
  <c r="AL543" i="6" s="1"/>
  <c r="AJ551" i="6"/>
  <c r="AK551" i="6" s="1"/>
  <c r="AL551" i="6" s="1"/>
  <c r="AJ559" i="6"/>
  <c r="AK559" i="6" s="1"/>
  <c r="AL559" i="6" s="1"/>
  <c r="AJ583" i="6"/>
  <c r="AK583" i="6" s="1"/>
  <c r="AL583" i="6" s="1"/>
  <c r="AJ591" i="6"/>
  <c r="AK591" i="6" s="1"/>
  <c r="AL591" i="6" s="1"/>
  <c r="AJ599" i="6"/>
  <c r="AK599" i="6" s="1"/>
  <c r="AL599" i="6" s="1"/>
  <c r="AJ608" i="6"/>
  <c r="AK608" i="6" s="1"/>
  <c r="AL608" i="6" s="1"/>
  <c r="AJ616" i="6"/>
  <c r="AK616" i="6" s="1"/>
  <c r="AL616" i="6" s="1"/>
  <c r="AJ592" i="6"/>
  <c r="AK592" i="6" s="1"/>
  <c r="AL592" i="6" s="1"/>
  <c r="AJ609" i="6"/>
  <c r="AK609" i="6" s="1"/>
  <c r="AL609" i="6" s="1"/>
  <c r="AJ382" i="6"/>
  <c r="AK382" i="6" s="1"/>
  <c r="AL382" i="6" s="1"/>
  <c r="AJ431" i="6"/>
  <c r="AK431" i="6" s="1"/>
  <c r="AL431" i="6" s="1"/>
  <c r="AJ490" i="6"/>
  <c r="AK490" i="6" s="1"/>
  <c r="AL490" i="6" s="1"/>
  <c r="AJ546" i="6"/>
  <c r="AK546" i="6" s="1"/>
  <c r="AL546" i="6" s="1"/>
  <c r="AJ37" i="6"/>
  <c r="AK37" i="6" s="1"/>
  <c r="AL37" i="6" s="1"/>
  <c r="AJ265" i="6"/>
  <c r="AK265" i="6" s="1"/>
  <c r="AL265" i="6" s="1"/>
  <c r="AJ273" i="6"/>
  <c r="AK273" i="6" s="1"/>
  <c r="AL273" i="6" s="1"/>
  <c r="AJ281" i="6"/>
  <c r="AK281" i="6" s="1"/>
  <c r="AL281" i="6" s="1"/>
  <c r="AJ289" i="6"/>
  <c r="AK289" i="6" s="1"/>
  <c r="AL289" i="6" s="1"/>
  <c r="AJ297" i="6"/>
  <c r="AK297" i="6" s="1"/>
  <c r="AL297" i="6" s="1"/>
  <c r="AJ305" i="6"/>
  <c r="AK305" i="6" s="1"/>
  <c r="AL305" i="6" s="1"/>
  <c r="AJ313" i="6"/>
  <c r="AK313" i="6" s="1"/>
  <c r="AL313" i="6" s="1"/>
  <c r="AJ321" i="6"/>
  <c r="AK321" i="6" s="1"/>
  <c r="AL321" i="6" s="1"/>
  <c r="AJ330" i="6"/>
  <c r="AK330" i="6" s="1"/>
  <c r="AL330" i="6" s="1"/>
  <c r="AJ338" i="6"/>
  <c r="AK338" i="6" s="1"/>
  <c r="AL338" i="6" s="1"/>
  <c r="AJ355" i="6"/>
  <c r="AK355" i="6" s="1"/>
  <c r="AL355" i="6" s="1"/>
  <c r="AJ364" i="6"/>
  <c r="AK364" i="6" s="1"/>
  <c r="AL364" i="6" s="1"/>
  <c r="AJ372" i="6"/>
  <c r="AK372" i="6" s="1"/>
  <c r="AL372" i="6" s="1"/>
  <c r="AJ380" i="6"/>
  <c r="AK380" i="6" s="1"/>
  <c r="AL380" i="6" s="1"/>
  <c r="AJ388" i="6"/>
  <c r="AK388" i="6" s="1"/>
  <c r="AL388" i="6" s="1"/>
  <c r="AJ396" i="6"/>
  <c r="AK396" i="6" s="1"/>
  <c r="AL396" i="6" s="1"/>
  <c r="AJ405" i="6"/>
  <c r="AK405" i="6" s="1"/>
  <c r="AL405" i="6" s="1"/>
  <c r="AJ413" i="6"/>
  <c r="AK413" i="6" s="1"/>
  <c r="AL413" i="6" s="1"/>
  <c r="AJ421" i="6"/>
  <c r="AK421" i="6" s="1"/>
  <c r="AL421" i="6" s="1"/>
  <c r="AJ429" i="6"/>
  <c r="AK429" i="6" s="1"/>
  <c r="AL429" i="6" s="1"/>
  <c r="AJ437" i="6"/>
  <c r="AK437" i="6" s="1"/>
  <c r="AL437" i="6" s="1"/>
  <c r="AJ445" i="6"/>
  <c r="AK445" i="6" s="1"/>
  <c r="AL445" i="6" s="1"/>
  <c r="AJ453" i="6"/>
  <c r="AK453" i="6" s="1"/>
  <c r="AL453" i="6" s="1"/>
  <c r="AJ469" i="6"/>
  <c r="AK469" i="6" s="1"/>
  <c r="AL469" i="6" s="1"/>
  <c r="AJ479" i="6"/>
  <c r="AK479" i="6" s="1"/>
  <c r="AL479" i="6" s="1"/>
  <c r="AJ487" i="6"/>
  <c r="AK487" i="6" s="1"/>
  <c r="AL487" i="6" s="1"/>
  <c r="AJ496" i="6"/>
  <c r="AK496" i="6" s="1"/>
  <c r="AL496" i="6" s="1"/>
  <c r="AJ504" i="6"/>
  <c r="AK504" i="6" s="1"/>
  <c r="AL504" i="6" s="1"/>
  <c r="AJ512" i="6"/>
  <c r="AK512" i="6" s="1"/>
  <c r="AL512" i="6" s="1"/>
  <c r="AJ520" i="6"/>
  <c r="AK520" i="6" s="1"/>
  <c r="AL520" i="6" s="1"/>
  <c r="AJ536" i="6"/>
  <c r="AK536" i="6" s="1"/>
  <c r="AL536" i="6" s="1"/>
  <c r="AJ544" i="6"/>
  <c r="AK544" i="6" s="1"/>
  <c r="AL544" i="6" s="1"/>
  <c r="AJ552" i="6"/>
  <c r="AK552" i="6" s="1"/>
  <c r="AL552" i="6" s="1"/>
  <c r="AJ560" i="6"/>
  <c r="AK560" i="6" s="1"/>
  <c r="AL560" i="6" s="1"/>
  <c r="AJ584" i="6"/>
  <c r="AK584" i="6" s="1"/>
  <c r="AL584" i="6" s="1"/>
  <c r="AJ184" i="6"/>
  <c r="AK184" i="6" s="1"/>
  <c r="AL184" i="6" s="1"/>
  <c r="AJ340" i="6"/>
  <c r="AK340" i="6" s="1"/>
  <c r="AL340" i="6" s="1"/>
  <c r="AJ398" i="6"/>
  <c r="AK398" i="6" s="1"/>
  <c r="AL398" i="6" s="1"/>
  <c r="AJ455" i="6"/>
  <c r="AK455" i="6" s="1"/>
  <c r="AL455" i="6" s="1"/>
  <c r="AJ562" i="6"/>
  <c r="AK562" i="6" s="1"/>
  <c r="AL562" i="6" s="1"/>
  <c r="AJ45" i="6"/>
  <c r="AK45" i="6" s="1"/>
  <c r="AL45" i="6" s="1"/>
  <c r="AJ110" i="6"/>
  <c r="AK110" i="6" s="1"/>
  <c r="AL110" i="6" s="1"/>
  <c r="AJ176" i="6"/>
  <c r="AK176" i="6" s="1"/>
  <c r="AL176" i="6" s="1"/>
  <c r="AJ233" i="6"/>
  <c r="AK233" i="6" s="1"/>
  <c r="AL233" i="6" s="1"/>
  <c r="AJ266" i="6"/>
  <c r="AK266" i="6" s="1"/>
  <c r="AL266" i="6" s="1"/>
  <c r="AJ274" i="6"/>
  <c r="AK274" i="6" s="1"/>
  <c r="AL274" i="6" s="1"/>
  <c r="AJ290" i="6"/>
  <c r="AK290" i="6" s="1"/>
  <c r="AL290" i="6" s="1"/>
  <c r="AJ298" i="6"/>
  <c r="AK298" i="6" s="1"/>
  <c r="AL298" i="6" s="1"/>
  <c r="AJ306" i="6"/>
  <c r="AK306" i="6" s="1"/>
  <c r="AL306" i="6" s="1"/>
  <c r="AJ314" i="6"/>
  <c r="AK314" i="6" s="1"/>
  <c r="AL314" i="6" s="1"/>
  <c r="AJ331" i="6"/>
  <c r="AK331" i="6" s="1"/>
  <c r="AL331" i="6" s="1"/>
  <c r="AJ339" i="6"/>
  <c r="AK339" i="6" s="1"/>
  <c r="AL339" i="6" s="1"/>
  <c r="AJ356" i="6"/>
  <c r="AK356" i="6" s="1"/>
  <c r="AL356" i="6" s="1"/>
  <c r="AJ365" i="6"/>
  <c r="AK365" i="6" s="1"/>
  <c r="AL365" i="6" s="1"/>
  <c r="AJ373" i="6"/>
  <c r="AK373" i="6" s="1"/>
  <c r="AL373" i="6" s="1"/>
  <c r="AJ381" i="6"/>
  <c r="AK381" i="6" s="1"/>
  <c r="AL381" i="6" s="1"/>
  <c r="AJ389" i="6"/>
  <c r="AK389" i="6" s="1"/>
  <c r="AL389" i="6" s="1"/>
  <c r="AJ397" i="6"/>
  <c r="AK397" i="6" s="1"/>
  <c r="AL397" i="6" s="1"/>
  <c r="AJ406" i="6"/>
  <c r="AK406" i="6" s="1"/>
  <c r="AL406" i="6" s="1"/>
  <c r="AJ414" i="6"/>
  <c r="AK414" i="6" s="1"/>
  <c r="AL414" i="6" s="1"/>
  <c r="AJ422" i="6"/>
  <c r="AK422" i="6" s="1"/>
  <c r="AL422" i="6" s="1"/>
  <c r="AJ430" i="6"/>
  <c r="AK430" i="6" s="1"/>
  <c r="AL430" i="6" s="1"/>
  <c r="AJ438" i="6"/>
  <c r="AK438" i="6" s="1"/>
  <c r="AL438" i="6" s="1"/>
  <c r="AJ446" i="6"/>
  <c r="AK446" i="6" s="1"/>
  <c r="AL446" i="6" s="1"/>
  <c r="AJ454" i="6"/>
  <c r="AK454" i="6" s="1"/>
  <c r="AL454" i="6" s="1"/>
  <c r="AJ462" i="6"/>
  <c r="AK462" i="6" s="1"/>
  <c r="AL462" i="6" s="1"/>
  <c r="AJ470" i="6"/>
  <c r="AK470" i="6" s="1"/>
  <c r="AL470" i="6" s="1"/>
  <c r="AJ480" i="6"/>
  <c r="AK480" i="6" s="1"/>
  <c r="AL480" i="6" s="1"/>
  <c r="AJ497" i="6"/>
  <c r="AK497" i="6" s="1"/>
  <c r="AL497" i="6" s="1"/>
  <c r="AJ513" i="6"/>
  <c r="AK513" i="6" s="1"/>
  <c r="AL513" i="6" s="1"/>
  <c r="AJ521" i="6"/>
  <c r="AK521" i="6" s="1"/>
  <c r="AL521" i="6" s="1"/>
  <c r="AJ529" i="6"/>
  <c r="AK529" i="6" s="1"/>
  <c r="AL529" i="6" s="1"/>
  <c r="AJ537" i="6"/>
  <c r="AK537" i="6" s="1"/>
  <c r="AL537" i="6" s="1"/>
  <c r="AJ545" i="6"/>
  <c r="AK545" i="6" s="1"/>
  <c r="AL545" i="6" s="1"/>
  <c r="AJ553" i="6"/>
  <c r="AK553" i="6" s="1"/>
  <c r="AL553" i="6" s="1"/>
  <c r="AJ561" i="6"/>
  <c r="AK561" i="6" s="1"/>
  <c r="AL561" i="6" s="1"/>
  <c r="AJ577" i="6"/>
  <c r="AK577" i="6" s="1"/>
  <c r="AL577" i="6" s="1"/>
  <c r="AJ585" i="6"/>
  <c r="AK585" i="6" s="1"/>
  <c r="AL585" i="6" s="1"/>
  <c r="AJ618" i="6"/>
  <c r="AK618" i="6" s="1"/>
  <c r="AL618" i="6" s="1"/>
  <c r="AJ235" i="6"/>
  <c r="AK235" i="6" s="1"/>
  <c r="AL235" i="6" s="1"/>
  <c r="AJ291" i="6"/>
  <c r="AK291" i="6" s="1"/>
  <c r="AL291" i="6" s="1"/>
  <c r="AJ332" i="6"/>
  <c r="AK332" i="6" s="1"/>
  <c r="AL332" i="6" s="1"/>
  <c r="AJ390" i="6"/>
  <c r="AK390" i="6" s="1"/>
  <c r="AL390" i="6" s="1"/>
  <c r="AJ439" i="6"/>
  <c r="AK439" i="6" s="1"/>
  <c r="AL439" i="6" s="1"/>
  <c r="AJ498" i="6"/>
  <c r="AK498" i="6" s="1"/>
  <c r="AL498" i="6" s="1"/>
  <c r="AJ554" i="6"/>
  <c r="AK554" i="6" s="1"/>
  <c r="AL554" i="6" s="1"/>
  <c r="AJ619" i="6"/>
  <c r="AK619" i="6" s="1"/>
  <c r="AL619" i="6" s="1"/>
  <c r="AJ16" i="6"/>
  <c r="I9" i="14"/>
  <c r="AJ329" i="6"/>
  <c r="AK329" i="6" s="1"/>
  <c r="AL329" i="6" s="1"/>
  <c r="AJ63" i="6"/>
  <c r="AK63" i="6" s="1"/>
  <c r="AL63" i="6" s="1"/>
  <c r="AJ79" i="6"/>
  <c r="AK79" i="6" s="1"/>
  <c r="AL79" i="6" s="1"/>
  <c r="AJ80" i="6"/>
  <c r="AK80" i="6" s="1"/>
  <c r="AL80" i="6" s="1"/>
  <c r="AJ66" i="6"/>
  <c r="AK66" i="6" s="1"/>
  <c r="AL66" i="6" s="1"/>
  <c r="AJ180" i="6"/>
  <c r="AK180" i="6" s="1"/>
  <c r="AL180" i="6" s="1"/>
  <c r="AJ83" i="6"/>
  <c r="AK83" i="6" s="1"/>
  <c r="AL83" i="6" s="1"/>
  <c r="AJ51" i="6"/>
  <c r="AK51" i="6" s="1"/>
  <c r="AL51" i="6" s="1"/>
  <c r="AJ231" i="6"/>
  <c r="AK231" i="6" s="1"/>
  <c r="AL231" i="6" s="1"/>
  <c r="AJ232" i="6"/>
  <c r="AK232" i="6" s="1"/>
  <c r="AL232" i="6" s="1"/>
  <c r="AJ62" i="6"/>
  <c r="AK62" i="6" s="1"/>
  <c r="AL62" i="6" s="1"/>
  <c r="AJ532" i="6"/>
  <c r="AK532" i="6" s="1"/>
  <c r="AL532" i="6" s="1"/>
  <c r="AJ566" i="6"/>
  <c r="AK566" i="6" s="1"/>
  <c r="AL566" i="6" s="1"/>
  <c r="AJ567" i="6"/>
  <c r="AK567" i="6" s="1"/>
  <c r="AL567" i="6" s="1"/>
  <c r="AJ506" i="6"/>
  <c r="AK506" i="6" s="1"/>
  <c r="AL506" i="6" s="1"/>
  <c r="AJ600" i="6"/>
  <c r="AK600" i="6" s="1"/>
  <c r="AL600" i="6" s="1"/>
  <c r="AJ136" i="6"/>
  <c r="AK136" i="6" s="1"/>
  <c r="AL136" i="6" s="1"/>
  <c r="AJ154" i="6"/>
  <c r="AK154" i="6" s="1"/>
  <c r="AL154" i="6" s="1"/>
  <c r="AJ137" i="6"/>
  <c r="AK137" i="6" s="1"/>
  <c r="AL137" i="6" s="1"/>
  <c r="AJ155" i="6"/>
  <c r="AK155" i="6" s="1"/>
  <c r="AL155" i="6" s="1"/>
  <c r="AJ156" i="6"/>
  <c r="AK156" i="6" s="1"/>
  <c r="AL156" i="6" s="1"/>
  <c r="AJ172" i="6"/>
  <c r="AK172" i="6" s="1"/>
  <c r="AL172" i="6" s="1"/>
  <c r="AJ107" i="6"/>
  <c r="AK107" i="6" s="1"/>
  <c r="AL107" i="6" s="1"/>
  <c r="AJ238" i="6"/>
  <c r="AK238" i="6" s="1"/>
  <c r="AL238" i="6" s="1"/>
  <c r="AJ190" i="6"/>
  <c r="AK190" i="6" s="1"/>
  <c r="AL190" i="6" s="1"/>
  <c r="AJ239" i="6"/>
  <c r="AK239" i="6" s="1"/>
  <c r="AL239" i="6" s="1"/>
  <c r="AJ61" i="6"/>
  <c r="AK61" i="6" s="1"/>
  <c r="AL61" i="6" s="1"/>
  <c r="AJ109" i="6"/>
  <c r="AK109" i="6" s="1"/>
  <c r="AL109" i="6" s="1"/>
  <c r="AJ141" i="6"/>
  <c r="AK141" i="6" s="1"/>
  <c r="AL141" i="6" s="1"/>
  <c r="AJ276" i="6"/>
  <c r="AK276" i="6" s="1"/>
  <c r="AL276" i="6" s="1"/>
  <c r="AJ308" i="6"/>
  <c r="AK308" i="6" s="1"/>
  <c r="AL308" i="6" s="1"/>
  <c r="AJ491" i="6"/>
  <c r="AK491" i="6" s="1"/>
  <c r="AL491" i="6" s="1"/>
  <c r="AJ547" i="6"/>
  <c r="AK547" i="6" s="1"/>
  <c r="AL547" i="6" s="1"/>
  <c r="AJ604" i="6"/>
  <c r="AK604" i="6" s="1"/>
  <c r="AL604" i="6" s="1"/>
  <c r="AJ301" i="6"/>
  <c r="AK301" i="6" s="1"/>
  <c r="AL301" i="6" s="1"/>
  <c r="AJ483" i="6"/>
  <c r="AK483" i="6" s="1"/>
  <c r="AL483" i="6" s="1"/>
  <c r="AJ548" i="6"/>
  <c r="AK548" i="6" s="1"/>
  <c r="AL548" i="6" s="1"/>
  <c r="AJ484" i="6"/>
  <c r="AK484" i="6" s="1"/>
  <c r="AL484" i="6" s="1"/>
  <c r="AJ549" i="6"/>
  <c r="AK549" i="6" s="1"/>
  <c r="AL549" i="6" s="1"/>
  <c r="AJ606" i="6"/>
  <c r="AK606" i="6" s="1"/>
  <c r="AL606" i="6" s="1"/>
  <c r="AJ299" i="6"/>
  <c r="AK299" i="6" s="1"/>
  <c r="AL299" i="6" s="1"/>
  <c r="AJ216" i="6"/>
  <c r="AK216" i="6" s="1"/>
  <c r="AL216" i="6" s="1"/>
  <c r="AJ451" i="6"/>
  <c r="AK451" i="6" s="1"/>
  <c r="AL451" i="6" s="1"/>
  <c r="AJ550" i="6"/>
  <c r="AK550" i="6" s="1"/>
  <c r="AL550" i="6" s="1"/>
  <c r="AJ607" i="6"/>
  <c r="AK607" i="6" s="1"/>
  <c r="AL607" i="6" s="1"/>
  <c r="AJ348" i="6"/>
  <c r="AK348" i="6" s="1"/>
  <c r="AL348" i="6" s="1"/>
  <c r="AJ312" i="6"/>
  <c r="AK312" i="6" s="1"/>
  <c r="AL312" i="6" s="1"/>
  <c r="AJ460" i="6"/>
  <c r="AK460" i="6" s="1"/>
  <c r="AL460" i="6" s="1"/>
  <c r="AJ259" i="6"/>
  <c r="AK259" i="6" s="1"/>
  <c r="AL259" i="6" s="1"/>
  <c r="AJ257" i="6"/>
  <c r="AK257" i="6" s="1"/>
  <c r="AL257" i="6" s="1"/>
  <c r="AJ346" i="6"/>
  <c r="AK346" i="6" s="1"/>
  <c r="AL346" i="6" s="1"/>
  <c r="AJ258" i="6"/>
  <c r="AK258" i="6" s="1"/>
  <c r="AL258" i="6" s="1"/>
  <c r="AJ347" i="6"/>
  <c r="AK347" i="6" s="1"/>
  <c r="AL347" i="6" s="1"/>
  <c r="L16" i="24"/>
  <c r="D12" i="6"/>
  <c r="F38" i="23"/>
  <c r="E38" i="23"/>
  <c r="G215" i="22"/>
  <c r="G216" i="22"/>
  <c r="G201" i="22"/>
  <c r="F189" i="22"/>
  <c r="G197" i="22"/>
  <c r="G208" i="22"/>
  <c r="G205" i="22"/>
  <c r="G213" i="22"/>
  <c r="G210" i="22"/>
  <c r="G200" i="22"/>
  <c r="G199" i="22"/>
  <c r="G202" i="22"/>
  <c r="G211" i="22"/>
  <c r="G212" i="22"/>
  <c r="G214" i="22"/>
  <c r="G203" i="22"/>
  <c r="G206" i="22"/>
  <c r="G198" i="22"/>
  <c r="G209" i="22"/>
  <c r="G204" i="22"/>
  <c r="G207" i="22"/>
  <c r="G231" i="22"/>
  <c r="G234" i="22"/>
  <c r="G239" i="22"/>
  <c r="G247" i="22"/>
  <c r="G244" i="22"/>
  <c r="G232" i="22"/>
  <c r="G243" i="22"/>
  <c r="G238" i="22"/>
  <c r="G240" i="22"/>
  <c r="G245" i="22"/>
  <c r="G246" i="22"/>
  <c r="G233" i="22"/>
  <c r="G235" i="22"/>
  <c r="F222" i="22"/>
  <c r="G230" i="22"/>
  <c r="G249" i="22"/>
  <c r="G236" i="22"/>
  <c r="G248" i="22"/>
  <c r="G242" i="22"/>
  <c r="G241" i="22"/>
  <c r="G350" i="22"/>
  <c r="G389" i="22"/>
  <c r="G45" i="22"/>
  <c r="G117" i="22"/>
  <c r="G115" i="22"/>
  <c r="G112" i="22"/>
  <c r="G46" i="22"/>
  <c r="G116" i="22"/>
  <c r="G41" i="22"/>
  <c r="G349" i="22"/>
  <c r="G36" i="22"/>
  <c r="G348" i="22"/>
  <c r="G82" i="22"/>
  <c r="G47" i="22"/>
  <c r="G84" i="22"/>
  <c r="G114" i="22"/>
  <c r="G48" i="22"/>
  <c r="G49" i="22"/>
  <c r="G42" i="22"/>
  <c r="G38" i="22"/>
  <c r="G43" i="22"/>
  <c r="G83" i="22"/>
  <c r="G388" i="22"/>
  <c r="G37" i="22"/>
  <c r="G387" i="22"/>
  <c r="G44" i="22"/>
  <c r="G39" i="22"/>
  <c r="G81" i="22"/>
  <c r="G347" i="22"/>
  <c r="G386" i="22"/>
  <c r="G113" i="22"/>
  <c r="G40" i="22"/>
  <c r="G99" i="22"/>
  <c r="G100" i="22"/>
  <c r="F90" i="22"/>
  <c r="G98" i="22"/>
  <c r="G101" i="22"/>
  <c r="G111" i="22"/>
  <c r="G106" i="22"/>
  <c r="G110" i="22"/>
  <c r="G104" i="22"/>
  <c r="G102" i="22"/>
  <c r="G109" i="22"/>
  <c r="G107" i="22"/>
  <c r="G103" i="22"/>
  <c r="G108" i="22"/>
  <c r="G105" i="22"/>
  <c r="G308" i="22"/>
  <c r="G306" i="22"/>
  <c r="G299" i="22"/>
  <c r="G385" i="22"/>
  <c r="G311" i="22"/>
  <c r="G302" i="22"/>
  <c r="G300" i="22"/>
  <c r="G301" i="22"/>
  <c r="G314" i="22"/>
  <c r="G303" i="22"/>
  <c r="G310" i="22"/>
  <c r="G312" i="22"/>
  <c r="G315" i="22"/>
  <c r="G313" i="22"/>
  <c r="G307" i="22"/>
  <c r="G298" i="22"/>
  <c r="G305" i="22"/>
  <c r="G304" i="22"/>
  <c r="G384" i="22"/>
  <c r="G309" i="22"/>
  <c r="F288" i="22"/>
  <c r="G296" i="22"/>
  <c r="G383" i="22"/>
  <c r="G297" i="22"/>
  <c r="G368" i="22"/>
  <c r="G378" i="22"/>
  <c r="G377" i="22"/>
  <c r="G365" i="22"/>
  <c r="G376" i="22"/>
  <c r="G382" i="22"/>
  <c r="G374" i="22"/>
  <c r="G370" i="22"/>
  <c r="F356" i="22"/>
  <c r="G364" i="22"/>
  <c r="G375" i="22"/>
  <c r="G371" i="22"/>
  <c r="G380" i="22"/>
  <c r="G367" i="22"/>
  <c r="G379" i="22"/>
  <c r="G369" i="22"/>
  <c r="G366" i="22"/>
  <c r="G381" i="22"/>
  <c r="G373" i="22"/>
  <c r="G372" i="22"/>
  <c r="G344" i="22"/>
  <c r="G336" i="22"/>
  <c r="G337" i="22"/>
  <c r="G334" i="22"/>
  <c r="G339" i="22"/>
  <c r="F321" i="22"/>
  <c r="G329" i="22"/>
  <c r="G341" i="22"/>
  <c r="G331" i="22"/>
  <c r="G335" i="22"/>
  <c r="G342" i="22"/>
  <c r="G330" i="22"/>
  <c r="G345" i="22"/>
  <c r="G332" i="22"/>
  <c r="G340" i="22"/>
  <c r="G333" i="22"/>
  <c r="G338" i="22"/>
  <c r="G346" i="22"/>
  <c r="G343" i="22"/>
  <c r="G419" i="22"/>
  <c r="F255" i="22"/>
  <c r="G263" i="22"/>
  <c r="G452" i="22"/>
  <c r="G174" i="22"/>
  <c r="G278" i="22"/>
  <c r="G448" i="22"/>
  <c r="G179" i="22"/>
  <c r="G441" i="22"/>
  <c r="G280" i="22"/>
  <c r="G410" i="22"/>
  <c r="G75" i="22"/>
  <c r="G450" i="22"/>
  <c r="G274" i="22"/>
  <c r="G172" i="22"/>
  <c r="G71" i="22"/>
  <c r="G78" i="22"/>
  <c r="G175" i="22"/>
  <c r="G276" i="22"/>
  <c r="G405" i="22"/>
  <c r="G64" i="22"/>
  <c r="G279" i="22"/>
  <c r="G270" i="22"/>
  <c r="G65" i="22"/>
  <c r="G273" i="22"/>
  <c r="G267" i="22"/>
  <c r="G420" i="22"/>
  <c r="G449" i="22"/>
  <c r="G67" i="22"/>
  <c r="G421" i="22"/>
  <c r="G447" i="22"/>
  <c r="G277" i="22"/>
  <c r="G440" i="22"/>
  <c r="G442" i="22"/>
  <c r="G178" i="22"/>
  <c r="G169" i="22"/>
  <c r="G407" i="22"/>
  <c r="G455" i="22"/>
  <c r="G165" i="22"/>
  <c r="G181" i="22"/>
  <c r="G168" i="22"/>
  <c r="G264" i="22"/>
  <c r="G281" i="22"/>
  <c r="G265" i="22"/>
  <c r="G282" i="22"/>
  <c r="G439" i="22"/>
  <c r="G167" i="22"/>
  <c r="G416" i="22"/>
  <c r="G412" i="22"/>
  <c r="G271" i="22"/>
  <c r="G73" i="22"/>
  <c r="G66" i="22"/>
  <c r="G79" i="22"/>
  <c r="G269" i="22"/>
  <c r="G182" i="22"/>
  <c r="G409" i="22"/>
  <c r="G69" i="22"/>
  <c r="G80" i="22"/>
  <c r="G414" i="22"/>
  <c r="G454" i="22"/>
  <c r="G451" i="22"/>
  <c r="G406" i="22"/>
  <c r="G70" i="22"/>
  <c r="G164" i="22"/>
  <c r="F156" i="22"/>
  <c r="G74" i="22"/>
  <c r="G180" i="22"/>
  <c r="G166" i="22"/>
  <c r="G422" i="22"/>
  <c r="G443" i="22"/>
  <c r="G76" i="22"/>
  <c r="G177" i="22"/>
  <c r="G437" i="22"/>
  <c r="G72" i="22"/>
  <c r="G183" i="22"/>
  <c r="G173" i="22"/>
  <c r="G408" i="22"/>
  <c r="G268" i="22"/>
  <c r="G272" i="22"/>
  <c r="G413" i="22"/>
  <c r="G68" i="22"/>
  <c r="G445" i="22"/>
  <c r="G171" i="22"/>
  <c r="G417" i="22"/>
  <c r="G266" i="22"/>
  <c r="G411" i="22"/>
  <c r="G418" i="22"/>
  <c r="G404" i="22"/>
  <c r="F395" i="22"/>
  <c r="G403" i="22"/>
  <c r="G77" i="22"/>
  <c r="G170" i="22"/>
  <c r="G453" i="22"/>
  <c r="G446" i="22"/>
  <c r="F55" i="22"/>
  <c r="G63" i="22"/>
  <c r="G444" i="22"/>
  <c r="G275" i="22"/>
  <c r="G436" i="22"/>
  <c r="F428" i="22"/>
  <c r="G438" i="22"/>
  <c r="G415" i="22"/>
  <c r="G176" i="22"/>
  <c r="G150" i="22"/>
  <c r="G136" i="22"/>
  <c r="G138" i="22"/>
  <c r="G140" i="22"/>
  <c r="G134" i="22"/>
  <c r="G133" i="22"/>
  <c r="G135" i="22"/>
  <c r="G149" i="22"/>
  <c r="G139" i="22"/>
  <c r="G145" i="22"/>
  <c r="G142" i="22"/>
  <c r="G141" i="22"/>
  <c r="G147" i="22"/>
  <c r="G132" i="22"/>
  <c r="G148" i="22"/>
  <c r="G131" i="22"/>
  <c r="G144" i="22"/>
  <c r="G146" i="22"/>
  <c r="G143" i="22"/>
  <c r="G137" i="22"/>
  <c r="F26" i="22"/>
  <c r="D16" i="22" s="1"/>
  <c r="Y16" i="6"/>
  <c r="AC16" i="6" s="1"/>
  <c r="M20" i="18"/>
  <c r="D110" i="9" s="1"/>
  <c r="K33" i="3"/>
  <c r="M43" i="3"/>
  <c r="I16" i="14"/>
  <c r="G32" i="22"/>
  <c r="L28" i="24"/>
  <c r="M28" i="24" s="1"/>
  <c r="G34" i="22"/>
  <c r="G35" i="22"/>
  <c r="N7" i="23"/>
  <c r="G33" i="22"/>
  <c r="I14" i="14"/>
  <c r="G31" i="22"/>
  <c r="G30" i="22"/>
  <c r="M16" i="24"/>
  <c r="M20" i="24"/>
  <c r="M32" i="3"/>
  <c r="N32" i="3" s="1"/>
  <c r="N69" i="13"/>
  <c r="N67" i="13"/>
  <c r="O34" i="3"/>
  <c r="O23" i="3"/>
  <c r="O24" i="3"/>
  <c r="N36" i="3"/>
  <c r="O25" i="3"/>
  <c r="N35" i="3"/>
  <c r="L51" i="3"/>
  <c r="Q51" i="3" s="1"/>
  <c r="L24" i="3"/>
  <c r="Q24" i="3" s="1"/>
  <c r="R24" i="3" s="1"/>
  <c r="L43" i="3"/>
  <c r="L36" i="3"/>
  <c r="Q36" i="3" s="1"/>
  <c r="R36" i="3" s="1"/>
  <c r="L48" i="3"/>
  <c r="Q48" i="3" s="1"/>
  <c r="L35" i="3"/>
  <c r="Q35" i="3" s="1"/>
  <c r="R35" i="3" s="1"/>
  <c r="L21" i="3"/>
  <c r="L23" i="3"/>
  <c r="Q23" i="3" s="1"/>
  <c r="R23" i="3" s="1"/>
  <c r="L34" i="3"/>
  <c r="Q34" i="3" s="1"/>
  <c r="R34" i="3" s="1"/>
  <c r="L25" i="3"/>
  <c r="Q25" i="3" s="1"/>
  <c r="R25" i="3" s="1"/>
  <c r="L52" i="3"/>
  <c r="Q52" i="3" s="1"/>
  <c r="O49" i="3"/>
  <c r="N49" i="3"/>
  <c r="L46" i="3"/>
  <c r="N54" i="3"/>
  <c r="O54" i="3"/>
  <c r="L49" i="3"/>
  <c r="Q49" i="3" s="1"/>
  <c r="R49" i="3" s="1"/>
  <c r="N47" i="3"/>
  <c r="O47" i="3"/>
  <c r="O50" i="3"/>
  <c r="N50" i="3"/>
  <c r="O52" i="3"/>
  <c r="N52" i="3"/>
  <c r="M33" i="3"/>
  <c r="M45" i="3"/>
  <c r="N53" i="3"/>
  <c r="O53" i="3"/>
  <c r="L53" i="3"/>
  <c r="Q53" i="3" s="1"/>
  <c r="K46" i="3"/>
  <c r="L54" i="3"/>
  <c r="Q54" i="3" s="1"/>
  <c r="K54" i="3"/>
  <c r="L55" i="3"/>
  <c r="O51" i="3"/>
  <c r="L47" i="3"/>
  <c r="Q47" i="3" s="1"/>
  <c r="L45" i="3"/>
  <c r="O48" i="3"/>
  <c r="N48" i="3"/>
  <c r="I20" i="14"/>
  <c r="G32" i="23"/>
  <c r="L24" i="24"/>
  <c r="M24" i="24" s="1"/>
  <c r="G37" i="23"/>
  <c r="I11" i="14"/>
  <c r="G10" i="11"/>
  <c r="Q13" i="3"/>
  <c r="L27" i="24"/>
  <c r="M27" i="24" s="1"/>
  <c r="G36" i="23"/>
  <c r="G33" i="23"/>
  <c r="L23" i="24"/>
  <c r="M23" i="24" s="1"/>
  <c r="L19" i="24"/>
  <c r="M19" i="24" s="1"/>
  <c r="H5" i="11"/>
  <c r="M11" i="18"/>
  <c r="L13" i="18"/>
  <c r="N11" i="18"/>
  <c r="L12" i="18"/>
  <c r="L26" i="24"/>
  <c r="L22" i="24"/>
  <c r="M22" i="24" s="1"/>
  <c r="L18" i="24"/>
  <c r="M18" i="24" s="1"/>
  <c r="G47" i="23"/>
  <c r="M19" i="18"/>
  <c r="Q31" i="3"/>
  <c r="L17" i="18"/>
  <c r="L29" i="24"/>
  <c r="M29" i="24" s="1"/>
  <c r="G35" i="23"/>
  <c r="N19" i="18"/>
  <c r="R31" i="3"/>
  <c r="L16" i="18"/>
  <c r="L25" i="24"/>
  <c r="M25" i="24" s="1"/>
  <c r="L21" i="24"/>
  <c r="M21" i="24" s="1"/>
  <c r="L17" i="24"/>
  <c r="M17" i="24" s="1"/>
  <c r="G39" i="23"/>
  <c r="G42" i="23"/>
  <c r="D48" i="9"/>
  <c r="G38" i="23"/>
  <c r="N70" i="13"/>
  <c r="N65" i="13"/>
  <c r="I51" i="13"/>
  <c r="N56" i="13"/>
  <c r="I56" i="13"/>
  <c r="I62" i="13"/>
  <c r="I46" i="13"/>
  <c r="N58" i="13"/>
  <c r="N66" i="13"/>
  <c r="N51" i="13"/>
  <c r="I48" i="13"/>
  <c r="I54" i="13"/>
  <c r="N63" i="13"/>
  <c r="I64" i="13"/>
  <c r="I61" i="13"/>
  <c r="N49" i="13"/>
  <c r="N71" i="13"/>
  <c r="N50" i="13"/>
  <c r="I60" i="13"/>
  <c r="N57" i="13"/>
  <c r="I53" i="13"/>
  <c r="I39" i="13"/>
  <c r="N41" i="13"/>
  <c r="N40" i="13"/>
  <c r="N36" i="13"/>
  <c r="I43" i="13"/>
  <c r="I38" i="13"/>
  <c r="I37" i="13"/>
  <c r="N42" i="13"/>
  <c r="AG16" i="6"/>
  <c r="AF16" i="6"/>
  <c r="P49" i="13"/>
  <c r="P50" i="13"/>
  <c r="P56" i="13"/>
  <c r="P42" i="13"/>
  <c r="P67" i="13"/>
  <c r="P39" i="13"/>
  <c r="P46" i="13"/>
  <c r="P37" i="13"/>
  <c r="P41" i="13"/>
  <c r="P62" i="13"/>
  <c r="P43" i="13"/>
  <c r="P60" i="13"/>
  <c r="P51" i="13"/>
  <c r="P66" i="13"/>
  <c r="P63" i="13"/>
  <c r="O67" i="13"/>
  <c r="P70" i="13"/>
  <c r="P65" i="13"/>
  <c r="P40" i="13"/>
  <c r="P69" i="13"/>
  <c r="O69" i="13"/>
  <c r="P57" i="13"/>
  <c r="P58" i="13"/>
  <c r="P71" i="13"/>
  <c r="P54" i="13"/>
  <c r="P73" i="13"/>
  <c r="P53" i="13"/>
  <c r="P38" i="13"/>
  <c r="P36" i="13"/>
  <c r="L50" i="3" l="1"/>
  <c r="Q50" i="3" s="1"/>
  <c r="D35" i="23"/>
  <c r="D39" i="23" s="1"/>
  <c r="F35" i="23"/>
  <c r="E35" i="23"/>
  <c r="L44" i="3"/>
  <c r="Q46" i="3"/>
  <c r="O46" i="3"/>
  <c r="D57" i="9"/>
  <c r="L33" i="3"/>
  <c r="Q33" i="3" s="1"/>
  <c r="G189" i="22"/>
  <c r="G222" i="22"/>
  <c r="G90" i="22"/>
  <c r="G288" i="22"/>
  <c r="G356" i="22"/>
  <c r="G321" i="22"/>
  <c r="G156" i="22"/>
  <c r="G428" i="22"/>
  <c r="G395" i="22"/>
  <c r="G255" i="22"/>
  <c r="G55" i="22"/>
  <c r="G123" i="22"/>
  <c r="G26" i="22"/>
  <c r="D17" i="22" s="1"/>
  <c r="N20" i="18"/>
  <c r="E110" i="9" s="1"/>
  <c r="O32" i="3"/>
  <c r="M44" i="3"/>
  <c r="O44" i="3" s="1"/>
  <c r="M26" i="24"/>
  <c r="D32" i="23" s="1"/>
  <c r="D33" i="23" s="1"/>
  <c r="O43" i="3"/>
  <c r="N43" i="3"/>
  <c r="Q43" i="3"/>
  <c r="R43" i="3" s="1"/>
  <c r="Q45" i="3"/>
  <c r="R47" i="3"/>
  <c r="R52" i="3"/>
  <c r="R50" i="3"/>
  <c r="R51" i="3"/>
  <c r="N45" i="3"/>
  <c r="O45" i="3"/>
  <c r="N33" i="3"/>
  <c r="O33" i="3"/>
  <c r="R53" i="3"/>
  <c r="K32" i="3"/>
  <c r="L32" i="3"/>
  <c r="Q32" i="3" s="1"/>
  <c r="R54" i="3"/>
  <c r="K22" i="3"/>
  <c r="L22" i="3"/>
  <c r="R46" i="3"/>
  <c r="R48" i="3"/>
  <c r="N47" i="13"/>
  <c r="N48" i="13"/>
  <c r="N59" i="13"/>
  <c r="N61" i="13"/>
  <c r="N64" i="13"/>
  <c r="N62" i="13"/>
  <c r="N46" i="13"/>
  <c r="N52" i="13"/>
  <c r="N53" i="13"/>
  <c r="N60" i="13"/>
  <c r="N54" i="13"/>
  <c r="N55" i="13"/>
  <c r="N45" i="13"/>
  <c r="N44" i="13"/>
  <c r="N43" i="13"/>
  <c r="N37" i="13"/>
  <c r="N39" i="13"/>
  <c r="N38" i="13"/>
  <c r="AI16" i="6"/>
  <c r="K265" i="13"/>
  <c r="K160" i="13"/>
  <c r="K152" i="13"/>
  <c r="P64" i="13"/>
  <c r="L163" i="13"/>
  <c r="L197" i="13"/>
  <c r="L115" i="13"/>
  <c r="O56" i="13"/>
  <c r="L202" i="13"/>
  <c r="K200" i="13"/>
  <c r="K249" i="13"/>
  <c r="L265" i="13"/>
  <c r="K260" i="13"/>
  <c r="K112" i="13"/>
  <c r="O58" i="13"/>
  <c r="K246" i="13"/>
  <c r="K202" i="13"/>
  <c r="K164" i="13"/>
  <c r="P61" i="13"/>
  <c r="K110" i="13"/>
  <c r="K206" i="13"/>
  <c r="K114" i="13"/>
  <c r="K198" i="13"/>
  <c r="O57" i="13"/>
  <c r="O51" i="13"/>
  <c r="K201" i="13"/>
  <c r="K262" i="13"/>
  <c r="L108" i="13"/>
  <c r="K255" i="13"/>
  <c r="L250" i="13"/>
  <c r="K115" i="13"/>
  <c r="O42" i="13"/>
  <c r="L239" i="13"/>
  <c r="L264" i="13"/>
  <c r="K245" i="13"/>
  <c r="L157" i="13"/>
  <c r="O50" i="13"/>
  <c r="L242" i="13"/>
  <c r="L254" i="13"/>
  <c r="L198" i="13"/>
  <c r="L249" i="13"/>
  <c r="L114" i="13"/>
  <c r="K257" i="13"/>
  <c r="L245" i="13"/>
  <c r="L257" i="13"/>
  <c r="K264" i="13"/>
  <c r="P59" i="13"/>
  <c r="K251" i="13"/>
  <c r="L263" i="13"/>
  <c r="K248" i="13"/>
  <c r="K162" i="13"/>
  <c r="L113" i="13"/>
  <c r="K113" i="13"/>
  <c r="P45" i="13"/>
  <c r="L259" i="13"/>
  <c r="L110" i="13"/>
  <c r="L106" i="13"/>
  <c r="O40" i="13"/>
  <c r="L117" i="13"/>
  <c r="K117" i="13"/>
  <c r="K151" i="13"/>
  <c r="K252" i="13"/>
  <c r="O41" i="13"/>
  <c r="K161" i="13"/>
  <c r="L252" i="13"/>
  <c r="L112" i="13"/>
  <c r="L260" i="13"/>
  <c r="L241" i="13"/>
  <c r="L151" i="13"/>
  <c r="L109" i="13"/>
  <c r="K259" i="13"/>
  <c r="L204" i="13"/>
  <c r="L248" i="13"/>
  <c r="L205" i="13"/>
  <c r="K239" i="13"/>
  <c r="K258" i="13"/>
  <c r="O63" i="13"/>
  <c r="L206" i="13"/>
  <c r="L261" i="13"/>
  <c r="L255" i="13"/>
  <c r="L105" i="13"/>
  <c r="K107" i="13"/>
  <c r="K204" i="13"/>
  <c r="L162" i="13"/>
  <c r="L203" i="13"/>
  <c r="P48" i="13"/>
  <c r="K203" i="13"/>
  <c r="L199" i="13"/>
  <c r="K111" i="13"/>
  <c r="K256" i="13"/>
  <c r="K158" i="13"/>
  <c r="L253" i="13"/>
  <c r="K253" i="13"/>
  <c r="K156" i="13"/>
  <c r="L247" i="13"/>
  <c r="L258" i="13"/>
  <c r="K243" i="13"/>
  <c r="K205" i="13"/>
  <c r="L251" i="13"/>
  <c r="K247" i="13"/>
  <c r="L152" i="13"/>
  <c r="O65" i="13"/>
  <c r="L107" i="13"/>
  <c r="K240" i="13"/>
  <c r="K103" i="13"/>
  <c r="L246" i="13"/>
  <c r="K163" i="13"/>
  <c r="K106" i="13"/>
  <c r="L111" i="13"/>
  <c r="L161" i="13"/>
  <c r="K155" i="13"/>
  <c r="L104" i="13"/>
  <c r="K263" i="13"/>
  <c r="O70" i="13"/>
  <c r="L154" i="13"/>
  <c r="K254" i="13"/>
  <c r="L103" i="13"/>
  <c r="L159" i="13"/>
  <c r="L150" i="13"/>
  <c r="L200" i="13"/>
  <c r="K250" i="13"/>
  <c r="L262" i="13"/>
  <c r="K199" i="13"/>
  <c r="L164" i="13"/>
  <c r="L256" i="13"/>
  <c r="O49" i="13"/>
  <c r="K109" i="13"/>
  <c r="K261" i="13"/>
  <c r="K116" i="13"/>
  <c r="K154" i="13"/>
  <c r="L116" i="13"/>
  <c r="P55" i="13"/>
  <c r="O71" i="13"/>
  <c r="K153" i="13"/>
  <c r="K159" i="13"/>
  <c r="O36" i="13"/>
  <c r="K150" i="13"/>
  <c r="K242" i="13"/>
  <c r="L155" i="13"/>
  <c r="L156" i="13"/>
  <c r="L160" i="13"/>
  <c r="K244" i="13"/>
  <c r="K108" i="13"/>
  <c r="L244" i="13"/>
  <c r="K241" i="13"/>
  <c r="L243" i="13"/>
  <c r="P47" i="13"/>
  <c r="L158" i="13"/>
  <c r="K197" i="13"/>
  <c r="K104" i="13"/>
  <c r="P44" i="13"/>
  <c r="L153" i="13"/>
  <c r="P52" i="13"/>
  <c r="K105" i="13"/>
  <c r="K157" i="13"/>
  <c r="L201" i="13"/>
  <c r="L240" i="13"/>
  <c r="O66" i="13"/>
  <c r="E57" i="9" l="1"/>
  <c r="D23" i="9"/>
  <c r="E23" i="9" s="1"/>
  <c r="D95" i="9"/>
  <c r="D47" i="23"/>
  <c r="D45" i="23"/>
  <c r="AK16" i="6"/>
  <c r="AL16" i="6" s="1"/>
  <c r="E79" i="13"/>
  <c r="E81" i="13"/>
  <c r="Q44" i="3"/>
  <c r="N44" i="3"/>
  <c r="M21" i="3"/>
  <c r="M22" i="3"/>
  <c r="N22" i="3" s="1"/>
  <c r="M55" i="3"/>
  <c r="Q55" i="3" s="1"/>
  <c r="R55" i="3" s="1"/>
  <c r="R45" i="3"/>
  <c r="R33" i="3"/>
  <c r="R32" i="3"/>
  <c r="P265" i="13"/>
  <c r="N116" i="13"/>
  <c r="P257" i="13"/>
  <c r="P253" i="13"/>
  <c r="P105" i="13"/>
  <c r="N253" i="13"/>
  <c r="O47" i="13"/>
  <c r="N112" i="13"/>
  <c r="P103" i="13"/>
  <c r="O53" i="13"/>
  <c r="P254" i="13"/>
  <c r="N249" i="13"/>
  <c r="N265" i="13"/>
  <c r="N154" i="13"/>
  <c r="N252" i="13"/>
  <c r="N261" i="13"/>
  <c r="P259" i="13"/>
  <c r="P264" i="13"/>
  <c r="P161" i="13"/>
  <c r="N256" i="13"/>
  <c r="N240" i="13"/>
  <c r="P106" i="13"/>
  <c r="N160" i="13"/>
  <c r="N264" i="13"/>
  <c r="P239" i="13"/>
  <c r="N245" i="13"/>
  <c r="N111" i="13"/>
  <c r="P243" i="13"/>
  <c r="N153" i="13"/>
  <c r="P164" i="13"/>
  <c r="N197" i="13"/>
  <c r="P198" i="13"/>
  <c r="P111" i="13"/>
  <c r="P157" i="13"/>
  <c r="P152" i="13"/>
  <c r="N156" i="13"/>
  <c r="P204" i="13"/>
  <c r="N150" i="13"/>
  <c r="P251" i="13"/>
  <c r="P115" i="13"/>
  <c r="N203" i="13"/>
  <c r="P248" i="13"/>
  <c r="P160" i="13"/>
  <c r="P242" i="13"/>
  <c r="P110" i="13"/>
  <c r="N104" i="13"/>
  <c r="N250" i="13"/>
  <c r="P262" i="13"/>
  <c r="P150" i="13"/>
  <c r="N247" i="13"/>
  <c r="N105" i="13"/>
  <c r="P114" i="13"/>
  <c r="N109" i="13"/>
  <c r="N155" i="13"/>
  <c r="P199" i="13"/>
  <c r="N248" i="13"/>
  <c r="P245" i="13"/>
  <c r="P241" i="13"/>
  <c r="N159" i="13"/>
  <c r="P116" i="13"/>
  <c r="O54" i="13"/>
  <c r="N107" i="13"/>
  <c r="P156" i="13"/>
  <c r="P155" i="13"/>
  <c r="N251" i="13"/>
  <c r="P163" i="13"/>
  <c r="N239" i="13"/>
  <c r="O43" i="13"/>
  <c r="O44" i="13"/>
  <c r="O45" i="13"/>
  <c r="N158" i="13"/>
  <c r="O46" i="13"/>
  <c r="P246" i="13"/>
  <c r="P250" i="13"/>
  <c r="P200" i="13"/>
  <c r="O55" i="13"/>
  <c r="P261" i="13"/>
  <c r="P158" i="13"/>
  <c r="N242" i="13"/>
  <c r="P153" i="13"/>
  <c r="N151" i="13"/>
  <c r="N103" i="13"/>
  <c r="N117" i="13"/>
  <c r="N205" i="13"/>
  <c r="P112" i="13"/>
  <c r="P260" i="13"/>
  <c r="N259" i="13"/>
  <c r="N164" i="13"/>
  <c r="P247" i="13"/>
  <c r="N258" i="13"/>
  <c r="N201" i="13"/>
  <c r="N260" i="13"/>
  <c r="N244" i="13"/>
  <c r="N199" i="13"/>
  <c r="N262" i="13"/>
  <c r="P252" i="13"/>
  <c r="N243" i="13"/>
  <c r="N202" i="13"/>
  <c r="N198" i="13"/>
  <c r="N115" i="13"/>
  <c r="N206" i="13"/>
  <c r="P256" i="13"/>
  <c r="O60" i="13"/>
  <c r="N152" i="13"/>
  <c r="P113" i="13"/>
  <c r="O52" i="13"/>
  <c r="P197" i="13"/>
  <c r="N200" i="13"/>
  <c r="P154" i="13"/>
  <c r="N110" i="13"/>
  <c r="N255" i="13"/>
  <c r="P203" i="13"/>
  <c r="P151" i="13"/>
  <c r="N163" i="13"/>
  <c r="P108" i="13"/>
  <c r="N204" i="13"/>
  <c r="P202" i="13"/>
  <c r="P162" i="13"/>
  <c r="O64" i="13"/>
  <c r="N246" i="13"/>
  <c r="N108" i="13"/>
  <c r="N106" i="13"/>
  <c r="P117" i="13"/>
  <c r="P255" i="13"/>
  <c r="P205" i="13"/>
  <c r="O37" i="13"/>
  <c r="N162" i="13"/>
  <c r="P258" i="13"/>
  <c r="P159" i="13"/>
  <c r="O39" i="13"/>
  <c r="O59" i="13"/>
  <c r="N263" i="13"/>
  <c r="N161" i="13"/>
  <c r="N241" i="13"/>
  <c r="P206" i="13"/>
  <c r="P201" i="13"/>
  <c r="O62" i="13"/>
  <c r="P107" i="13"/>
  <c r="P109" i="13"/>
  <c r="P244" i="13"/>
  <c r="N114" i="13"/>
  <c r="P240" i="13"/>
  <c r="O38" i="13"/>
  <c r="O48" i="13"/>
  <c r="N157" i="13"/>
  <c r="P249" i="13"/>
  <c r="O61" i="13"/>
  <c r="N113" i="13"/>
  <c r="P263" i="13"/>
  <c r="N257" i="13"/>
  <c r="P104" i="13"/>
  <c r="N254" i="13"/>
  <c r="N282" i="13" l="1"/>
  <c r="N281" i="13"/>
  <c r="E173" i="13"/>
  <c r="E175" i="13"/>
  <c r="E128" i="13"/>
  <c r="E126" i="13"/>
  <c r="E215" i="13"/>
  <c r="E282" i="13"/>
  <c r="E9" i="13" s="1"/>
  <c r="H16" i="12" s="1"/>
  <c r="E217" i="13"/>
  <c r="E284" i="13"/>
  <c r="E11" i="13" s="1"/>
  <c r="D8" i="11" s="1"/>
  <c r="F8" i="11" s="1"/>
  <c r="D97" i="9"/>
  <c r="E126" i="9"/>
  <c r="D73" i="9"/>
  <c r="D126" i="9"/>
  <c r="E73" i="9"/>
  <c r="E95" i="9"/>
  <c r="D36" i="9"/>
  <c r="E36" i="9" s="1"/>
  <c r="E80" i="13"/>
  <c r="R44" i="3"/>
  <c r="O21" i="3"/>
  <c r="N21" i="3"/>
  <c r="Q21" i="3"/>
  <c r="N55" i="3"/>
  <c r="O55" i="3"/>
  <c r="O22" i="3"/>
  <c r="Q22" i="3"/>
  <c r="O265" i="13"/>
  <c r="O251" i="13"/>
  <c r="O163" i="13"/>
  <c r="O161" i="13"/>
  <c r="O264" i="13"/>
  <c r="O111" i="13"/>
  <c r="O116" i="13"/>
  <c r="O199" i="13"/>
  <c r="O260" i="13"/>
  <c r="O254" i="13"/>
  <c r="O162" i="13"/>
  <c r="O246" i="13"/>
  <c r="O164" i="13"/>
  <c r="O205" i="13"/>
  <c r="O103" i="13"/>
  <c r="O253" i="13"/>
  <c r="O151" i="13"/>
  <c r="O105" i="13"/>
  <c r="O252" i="13"/>
  <c r="O152" i="13"/>
  <c r="O203" i="13"/>
  <c r="O258" i="13"/>
  <c r="O109" i="13"/>
  <c r="O153" i="13"/>
  <c r="O244" i="13"/>
  <c r="O150" i="13"/>
  <c r="O113" i="13"/>
  <c r="O257" i="13"/>
  <c r="O155" i="13"/>
  <c r="O250" i="13"/>
  <c r="O261" i="13"/>
  <c r="O204" i="13"/>
  <c r="O248" i="13"/>
  <c r="O114" i="13"/>
  <c r="O240" i="13"/>
  <c r="O108" i="13"/>
  <c r="O262" i="13"/>
  <c r="O201" i="13"/>
  <c r="O104" i="13"/>
  <c r="O157" i="13"/>
  <c r="O255" i="13"/>
  <c r="O107" i="13"/>
  <c r="O200" i="13"/>
  <c r="O241" i="13"/>
  <c r="O202" i="13"/>
  <c r="O159" i="13"/>
  <c r="O112" i="13"/>
  <c r="O249" i="13"/>
  <c r="O197" i="13"/>
  <c r="O256" i="13"/>
  <c r="O154" i="13"/>
  <c r="O198" i="13"/>
  <c r="O156" i="13"/>
  <c r="O243" i="13"/>
  <c r="O242" i="13"/>
  <c r="O263" i="13"/>
  <c r="O259" i="13"/>
  <c r="O117" i="13"/>
  <c r="O106" i="13"/>
  <c r="O160" i="13"/>
  <c r="O158" i="13"/>
  <c r="O206" i="13"/>
  <c r="O239" i="13"/>
  <c r="O247" i="13"/>
  <c r="O115" i="13"/>
  <c r="O110" i="13"/>
  <c r="O245" i="13"/>
  <c r="O282" i="13" l="1"/>
  <c r="O281" i="13"/>
  <c r="H23" i="12"/>
  <c r="E8" i="11"/>
  <c r="H29" i="12"/>
  <c r="D104" i="9" s="1"/>
  <c r="H21" i="12"/>
  <c r="H13" i="12"/>
  <c r="D9" i="11"/>
  <c r="H11" i="11" s="1"/>
  <c r="H14" i="11" s="1"/>
  <c r="H10" i="12"/>
  <c r="H26" i="12"/>
  <c r="H12" i="12"/>
  <c r="H15" i="12"/>
  <c r="H11" i="12"/>
  <c r="H25" i="12"/>
  <c r="H22" i="12"/>
  <c r="H14" i="12"/>
  <c r="H24" i="12"/>
  <c r="E127" i="13"/>
  <c r="E283" i="13"/>
  <c r="E10" i="13" s="1"/>
  <c r="D9" i="12" s="1"/>
  <c r="H9" i="12" s="1"/>
  <c r="E216" i="13"/>
  <c r="E174" i="13"/>
  <c r="H17" i="12"/>
  <c r="H23" i="11" s="1"/>
  <c r="H8" i="12"/>
  <c r="D98" i="9"/>
  <c r="E97" i="9"/>
  <c r="Q14" i="3"/>
  <c r="R21" i="3"/>
  <c r="R22" i="3"/>
  <c r="E104" i="9" l="1"/>
  <c r="D51" i="9"/>
  <c r="H15" i="11"/>
  <c r="E51" i="9"/>
  <c r="D99" i="9"/>
  <c r="E99" i="9" s="1"/>
  <c r="E98" i="9"/>
  <c r="D109" i="9"/>
  <c r="D56" i="9"/>
  <c r="D22" i="9"/>
  <c r="D21" i="9"/>
  <c r="R14" i="3"/>
  <c r="E56" i="9" l="1"/>
  <c r="E109" i="9"/>
  <c r="E21" i="9"/>
  <c r="D24" i="9"/>
  <c r="E22" i="9"/>
  <c r="D25" i="9"/>
  <c r="D29" i="9" l="1"/>
  <c r="D30" i="9" s="1"/>
  <c r="D31" i="9" s="1"/>
  <c r="E24" i="9"/>
  <c r="E25" i="9"/>
  <c r="E29" i="9" l="1"/>
  <c r="E30" i="9"/>
  <c r="E31" i="9" l="1"/>
  <c r="I23" i="11"/>
  <c r="D18" i="12"/>
  <c r="H18" i="12" s="1"/>
  <c r="D32" i="9" l="1"/>
  <c r="D34" i="9" s="1"/>
  <c r="E34" i="9" s="1"/>
  <c r="F9" i="12"/>
  <c r="E9" i="12"/>
  <c r="D28" i="12"/>
  <c r="H28" i="12" s="1"/>
  <c r="D103" i="9" l="1"/>
  <c r="D105" i="9" s="1"/>
  <c r="E103" i="9"/>
  <c r="E50" i="9"/>
  <c r="H22" i="11"/>
  <c r="D50" i="9"/>
  <c r="D37" i="9"/>
  <c r="E37" i="9" s="1"/>
  <c r="E32" i="9"/>
  <c r="H16" i="11"/>
  <c r="H17" i="11" s="1"/>
  <c r="H21" i="11"/>
  <c r="D30" i="12"/>
  <c r="H30" i="12" s="1"/>
  <c r="E105" i="9" l="1"/>
  <c r="D100" i="9"/>
  <c r="E100" i="9" s="1"/>
  <c r="E120" i="9"/>
  <c r="D120" i="9"/>
  <c r="D67" i="9"/>
  <c r="E67" i="9"/>
  <c r="D52" i="9"/>
  <c r="E52" i="9"/>
  <c r="I22" i="11" l="1"/>
  <c r="I21" i="11"/>
  <c r="I16" i="11"/>
  <c r="I17" i="11" l="1"/>
  <c r="I11" i="11" l="1"/>
  <c r="I15" i="11"/>
  <c r="I14" i="11" l="1"/>
  <c r="H18" i="11"/>
  <c r="E111" i="9" l="1"/>
  <c r="D111" i="9"/>
  <c r="E58" i="9"/>
  <c r="H28" i="11"/>
  <c r="D58" i="9"/>
  <c r="H24" i="11"/>
  <c r="I18" i="11"/>
  <c r="I24" i="11" l="1"/>
  <c r="H25" i="11"/>
  <c r="I28" i="11"/>
  <c r="E113" i="9" l="1"/>
  <c r="D113" i="9"/>
  <c r="E60" i="9"/>
  <c r="I25" i="11"/>
  <c r="D60" i="9"/>
  <c r="H30" i="11"/>
  <c r="I30" i="11" s="1"/>
  <c r="H29" i="11"/>
  <c r="I29" i="11" s="1"/>
  <c r="H31" i="11" l="1"/>
  <c r="E115" i="9" l="1"/>
  <c r="D115" i="9"/>
  <c r="E62" i="9"/>
  <c r="I31" i="11"/>
  <c r="D62" i="9"/>
  <c r="D116" i="9" l="1"/>
  <c r="D124" i="9" s="1"/>
  <c r="D127" i="9" s="1"/>
  <c r="D121" i="9"/>
  <c r="D122" i="9" s="1"/>
  <c r="E116" i="9"/>
  <c r="E121" i="9"/>
  <c r="E63" i="9"/>
  <c r="E68" i="9"/>
  <c r="D68" i="9"/>
  <c r="D63" i="9"/>
  <c r="E122" i="9" l="1"/>
  <c r="E124" i="9"/>
  <c r="E71" i="9"/>
  <c r="E74" i="9" s="1"/>
  <c r="E69" i="9"/>
  <c r="D69" i="9"/>
  <c r="D71" i="9"/>
  <c r="D74" i="9" s="1"/>
  <c r="E12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G36" authorId="0" shapeId="0" xr:uid="{00000000-0006-0000-0000-000001000000}">
      <text>
        <r>
          <rPr>
            <sz val="9"/>
            <color rgb="FF000000"/>
            <rFont val="Calibri"/>
            <family val="2"/>
          </rPr>
          <t>An input that accepts a text string or numeric value - if numeric, the units will be noted to the right side of the cell.</t>
        </r>
      </text>
    </comment>
    <comment ref="G37" authorId="0" shapeId="0" xr:uid="{97C0985D-F2A3-4F46-8066-A8A5B8A70463}">
      <text>
        <r>
          <rPr>
            <sz val="9"/>
            <color rgb="FF000000"/>
            <rFont val="Calibri"/>
            <family val="2"/>
          </rPr>
          <t>An input that accepts a text string or numeric value - if numeric, the units will be noted to the right side of the cell.</t>
        </r>
      </text>
    </comment>
    <comment ref="G39" authorId="0" shapeId="0" xr:uid="{00000000-0006-0000-0000-000003000000}">
      <text>
        <r>
          <rPr>
            <sz val="9"/>
            <color rgb="FF000000"/>
            <rFont val="Calibri"/>
            <family val="2"/>
          </rPr>
          <t>To use the drop-down cells, click on the cell and then use the drop-down icon that appears to the right of the cell to complete entry.</t>
        </r>
      </text>
    </comment>
    <comment ref="G40" authorId="0" shapeId="0" xr:uid="{00000000-0006-0000-0000-000004000000}">
      <text>
        <r>
          <rPr>
            <sz val="9"/>
            <color rgb="FF000000"/>
            <rFont val="Calibri"/>
            <family val="2"/>
          </rPr>
          <t>To use the drop-down cells, click on the cell and then use the drop-down icon that appears to the right of the cell to complete entry.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F9" authorId="0" shapeId="0" xr:uid="{0B04DB60-300F-2A46-8442-EF28C26F5D2F}">
      <text>
        <r>
          <rPr>
            <sz val="9"/>
            <color rgb="FF000000"/>
            <rFont val="Calibri"/>
            <family val="2"/>
          </rPr>
          <t>For scaling equipment, materials, and other purchase prices to a common time basis. The years 1984-2018 are allowed in v1.0.0. The user is cautioned against using the built-in cost indices for long time translations without spot checking.</t>
        </r>
      </text>
    </comment>
    <comment ref="F10" authorId="0" shapeId="0" xr:uid="{AB59FB6C-47A6-D745-A3F3-7371AE1436BB}">
      <text>
        <r>
          <rPr>
            <sz val="9"/>
            <color rgb="FF000000"/>
            <rFont val="Calibri"/>
            <family val="2"/>
          </rPr>
          <t>This cell is provided for forward compatibility. At present, CatCost uses only US Dollars.</t>
        </r>
      </text>
    </comment>
    <comment ref="F14" authorId="0" shapeId="0" xr:uid="{00000000-0006-0000-0100-000001000000}">
      <text>
        <r>
          <rPr>
            <sz val="9"/>
            <color rgb="FF000000"/>
            <rFont val="Calibri"/>
            <family val="2"/>
          </rPr>
          <t>The output mass unit is used throughout the model for consistency. It is best to set it before completing the rest of an estimate and to leave it unchanged thereafter. Changing this value after completing other model inputs will change the interpretation of your numerical entries on this sheet and in later modules, so please double-check when adjusting it.</t>
        </r>
      </text>
    </comment>
    <comment ref="P29" authorId="0" shapeId="0" xr:uid="{6CF90BF5-6A57-4C4A-A81C-2BDE5BC47CF5}">
      <text>
        <r>
          <rPr>
            <sz val="9"/>
            <color rgb="FF000000"/>
            <rFont val="Calibri"/>
            <family val="2"/>
          </rPr>
          <t xml:space="preserve">General and Administrative (G&amp;A) costs.
</t>
        </r>
        <r>
          <rPr>
            <sz val="9"/>
            <color rgb="FF000000"/>
            <rFont val="Calibri"/>
            <family val="2"/>
          </rPr>
          <t xml:space="preserve">
</t>
        </r>
        <r>
          <rPr>
            <sz val="9"/>
            <color rgb="FF000000"/>
            <rFont val="Calibri"/>
            <family val="2"/>
          </rPr>
          <t>Raw materials and synthesis step costs are first added together as a subtotal. Then G&amp;A costs are calculated as as X% of this subtotal.</t>
        </r>
      </text>
    </comment>
    <comment ref="P30" authorId="0" shapeId="0" xr:uid="{A0EB10D9-D472-4541-BE5A-4FF0E7A4FE1B}">
      <text>
        <r>
          <rPr>
            <sz val="9"/>
            <color rgb="FF000000"/>
            <rFont val="Calibri"/>
            <family val="2"/>
          </rPr>
          <t xml:space="preserve">Sales, Administrative, Research and Distribution (SARD) costs.
</t>
        </r>
        <r>
          <rPr>
            <sz val="9"/>
            <color rgb="FF000000"/>
            <rFont val="Calibri"/>
            <family val="2"/>
          </rPr>
          <t xml:space="preserve">
</t>
        </r>
        <r>
          <rPr>
            <sz val="9"/>
            <color rgb="FF000000"/>
            <rFont val="Calibri"/>
            <family val="2"/>
          </rPr>
          <t>Raw materials and synthesis step costs are first added together as a subtotal and G&amp;A is added. Then SARD costs are calculated as as X% of [subtotal + G&amp;A].</t>
        </r>
      </text>
    </comment>
    <comment ref="P31" authorId="0" shapeId="0" xr:uid="{0A51C708-806F-2242-B5AD-08FD26326A11}">
      <text>
        <r>
          <rPr>
            <sz val="9"/>
            <color rgb="FF000000"/>
            <rFont val="Calibri"/>
            <family val="2"/>
          </rPr>
          <t xml:space="preserve">Selling margin as a percentage of pre-margin costs via a formula from industry data. E.g. at the 2-ton scale, the margin value is 50%, which is 33% of selling price.
</t>
        </r>
        <r>
          <rPr>
            <sz val="9"/>
            <color rgb="FF000000"/>
            <rFont val="Calibri"/>
            <family val="2"/>
          </rPr>
          <t xml:space="preserve">
</t>
        </r>
        <r>
          <rPr>
            <sz val="9"/>
            <color rgb="FF000000"/>
            <rFont val="Calibri"/>
            <family val="2"/>
          </rPr>
          <t>Raw materials and synthesis step costs are first added together as a subtotal and G&amp;A and SARD are added. Then the selling margin is calculated as as X% of [subtotal + G&amp;A + SARD].</t>
        </r>
      </text>
    </comment>
    <comment ref="P37" authorId="0" shapeId="0" xr:uid="{00000000-0006-0000-0100-000002000000}">
      <text>
        <r>
          <rPr>
            <sz val="9"/>
            <color rgb="FF000000"/>
            <rFont val="Calibri"/>
            <family val="2"/>
          </rPr>
          <t>This is the annual production that will be used to determine capital investment.</t>
        </r>
      </text>
    </comment>
    <comment ref="P38" authorId="0" shapeId="0" xr:uid="{00000000-0006-0000-0100-000003000000}">
      <text>
        <r>
          <rPr>
            <sz val="9"/>
            <color rgb="FF000000"/>
            <rFont val="Calibri"/>
            <family val="2"/>
          </rPr>
          <t>This factor accounts for major production problems, weak product demand, higher-than-expected productivity, or other unexpected events that reduce (or increase) the actual production of the plant relative to the pre-construction plant design. Materials usage scales with this number, but capital expenditure does not. Ordinary maintenance, both planned and unplanned, is accounted for by the stream factor, below.</t>
        </r>
      </text>
    </comment>
    <comment ref="P39" authorId="0" shapeId="0" xr:uid="{00000000-0006-0000-0100-000004000000}">
      <text>
        <r>
          <rPr>
            <sz val="9"/>
            <color rgb="FF000000"/>
            <rFont val="Calibri"/>
            <family val="2"/>
          </rPr>
          <t>Production capacity reduced by capacity factor.</t>
        </r>
      </text>
    </comment>
    <comment ref="P42" authorId="0" shapeId="0" xr:uid="{00000000-0006-0000-0100-000005000000}">
      <text>
        <r>
          <rPr>
            <sz val="9"/>
            <color rgb="FF000000"/>
            <rFont val="Calibri"/>
            <family val="2"/>
          </rPr>
          <t>Reduce this only if a less-than-24/7 workforce is expected (e.g. two-shift operation or a scheduled annual shutdown period with minimal staffing). To account for maintenance, use the stream factor.</t>
        </r>
      </text>
    </comment>
    <comment ref="P43" authorId="0" shapeId="0" xr:uid="{00000000-0006-0000-0100-000006000000}">
      <text>
        <r>
          <rPr>
            <sz val="9"/>
            <color rgb="FF000000"/>
            <rFont val="Calibri"/>
            <family val="2"/>
          </rPr>
          <t>This factor (also called a "stream factor") accounts for maintenance downtime as estimated in pre-construction design and is equal to the fraction of operating hours in which catalyst is actually produced. Labor is not curtailed during downtime because operators are assumed to participate in maintenance.</t>
        </r>
      </text>
    </comment>
    <comment ref="P44" authorId="0" shapeId="0" xr:uid="{00000000-0006-0000-0100-000007000000}">
      <text>
        <r>
          <rPr>
            <sz val="9"/>
            <color rgb="FF000000"/>
            <rFont val="Calibri"/>
            <family val="2"/>
          </rPr>
          <t xml:space="preserve">The number of hours in which catalyst is actually produced. </t>
        </r>
      </text>
    </comment>
    <comment ref="P45" authorId="0" shapeId="0" xr:uid="{00000000-0006-0000-0100-000008000000}">
      <text>
        <r>
          <rPr>
            <sz val="9"/>
            <color rgb="FF000000"/>
            <rFont val="Calibri"/>
            <family val="2"/>
          </rPr>
          <t>This rate, based upon "Operating Hours (Production) and "Design Production, Annual,"  is used to scale CatCost-supplied process templates and user-entered equipment.</t>
        </r>
      </text>
    </comment>
    <comment ref="P48" authorId="0" shapeId="0" xr:uid="{BB9C01AB-AA37-6B41-9E2B-73FD47FA334C}">
      <text>
        <r>
          <rPr>
            <sz val="9"/>
            <color rgb="FF000000"/>
            <rFont val="Calibri"/>
            <family val="2"/>
          </rPr>
          <t>Straight-line depreciation is assumed without detailed tax, profitability, or discounted cash-flow analysis, i.e. capital costs are divided over the total output of the plant (Actual Production, Annual X Plant Life) over this lifetime. This simplified approach is consistent with many preliminary estimation approaches published elsewhere.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I6" authorId="0" shapeId="0" xr:uid="{00000000-0006-0000-0200-000001000000}">
      <text>
        <r>
          <rPr>
            <sz val="9"/>
            <color rgb="FF000000"/>
            <rFont val="Calibri"/>
            <family val="2"/>
          </rPr>
          <t>For "% Yield" enter the yield to finished catalyst powder (AP+support) from the metal precursor(s) - generally this is equivalent to the % yield of AP production because supporting steps are commonly quantitative. For "AP Mass" enter the actual mass obtained of active phase. For "Catalyst Mass" enter the actual mass obtained of finished catalyst powder (AP+support).</t>
        </r>
      </text>
    </comment>
    <comment ref="I8" authorId="0" shapeId="0" xr:uid="{00000000-0006-0000-0200-000002000000}">
      <text>
        <r>
          <rPr>
            <sz val="9"/>
            <color rgb="FF000000"/>
            <rFont val="Calibri"/>
            <family val="2"/>
          </rPr>
          <t>How many moles of active phase (AP) are produced per mole of metal precursor(s)? For Ni2P produced from Ni(acac)2, for example, this ratio would be 0.5. Not used when "AP Mass" or "Catalyst Mass" is selected above.</t>
        </r>
      </text>
    </comment>
    <comment ref="I9" authorId="0" shapeId="0" xr:uid="{00000000-0006-0000-0200-000003000000}">
      <text>
        <r>
          <rPr>
            <sz val="9"/>
            <color rgb="FF000000"/>
            <rFont val="Calibri"/>
            <family val="2"/>
          </rPr>
          <t>Not used when "AP Mass" or "Catalyst Mass" is selected above.</t>
        </r>
      </text>
    </comment>
    <comment ref="I10" authorId="0" shapeId="0" xr:uid="{00000000-0006-0000-0200-000004000000}">
      <text>
        <r>
          <rPr>
            <sz val="9"/>
            <color rgb="FF000000"/>
            <rFont val="Calibri"/>
            <family val="2"/>
          </rPr>
          <t>Weight percent of active phase in finished catalyst powder.</t>
        </r>
      </text>
    </comment>
    <comment ref="I14" authorId="0" shapeId="0" xr:uid="{00000000-0006-0000-0200-000005000000}">
      <text>
        <r>
          <rPr>
            <sz val="9"/>
            <color rgb="FF000000"/>
            <rFont val="Calibri"/>
            <family val="2"/>
          </rPr>
          <t>In an industrial setting, inevitable losses during material handling mean that slightly more material must be purchased than actually is used in the process.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E29" authorId="0" shapeId="0" xr:uid="{332C314E-90DA-204C-ACD9-D3CB709970C7}">
      <text>
        <r>
          <rPr>
            <sz val="10"/>
            <color rgb="FF000000"/>
            <rFont val="Tahoma"/>
            <family val="2"/>
          </rPr>
          <t>All costs escalated from a mid-2017 basis to the current CatCost basis year entered on '1 Inputs'</t>
        </r>
      </text>
    </comment>
    <comment ref="E62" authorId="0" shapeId="0" xr:uid="{10990C70-DB4D-074E-A94D-7BB1AA6BEF6D}">
      <text>
        <r>
          <rPr>
            <sz val="10"/>
            <color rgb="FF000000"/>
            <rFont val="Tahoma"/>
            <family val="2"/>
          </rPr>
          <t>All costs escalated from a mid-2017 basis to the current CatCost basis year entered on '1 Inputs'</t>
        </r>
      </text>
    </comment>
    <comment ref="E97" authorId="0" shapeId="0" xr:uid="{3CA37E19-0272-5642-89D6-33EAA7478B34}">
      <text>
        <r>
          <rPr>
            <sz val="10"/>
            <color rgb="FF000000"/>
            <rFont val="Tahoma"/>
            <family val="2"/>
          </rPr>
          <t>All costs escalated from a mid-2017 basis to the current CatCost basis year entered on '1 Inputs'</t>
        </r>
      </text>
    </comment>
    <comment ref="E130" authorId="0" shapeId="0" xr:uid="{6533EEB1-51B2-194F-A74F-94E5A32346B6}">
      <text>
        <r>
          <rPr>
            <sz val="10"/>
            <color rgb="FF000000"/>
            <rFont val="Tahoma"/>
            <family val="2"/>
          </rPr>
          <t>All costs escalated from a mid-2017 basis to the current CatCost basis year entered on '1 Inputs'</t>
        </r>
      </text>
    </comment>
    <comment ref="E163" authorId="0" shapeId="0" xr:uid="{2A8A1BE4-5312-3648-A1C9-C597EAD7C562}">
      <text>
        <r>
          <rPr>
            <sz val="10"/>
            <color rgb="FF000000"/>
            <rFont val="Tahoma"/>
            <family val="2"/>
          </rPr>
          <t>All costs escalated from a mid-2017 basis to the current CatCost basis year entered on '1 Inputs'</t>
        </r>
      </text>
    </comment>
    <comment ref="E196" authorId="0" shapeId="0" xr:uid="{5FB8B9EB-1682-5B42-A6B2-DDA917DBE396}">
      <text>
        <r>
          <rPr>
            <sz val="10"/>
            <color rgb="FF000000"/>
            <rFont val="Tahoma"/>
            <family val="2"/>
          </rPr>
          <t>All costs escalated from a mid-2017 basis to the current CatCost basis year entered on '1 Inputs'</t>
        </r>
      </text>
    </comment>
    <comment ref="E229" authorId="0" shapeId="0" xr:uid="{87CEBDEC-A5F6-F043-8A54-921B9EFEB436}">
      <text>
        <r>
          <rPr>
            <sz val="10"/>
            <color rgb="FF000000"/>
            <rFont val="Tahoma"/>
            <family val="2"/>
          </rPr>
          <t>All costs escalated from a mid-2017 basis to the current CatCost basis year entered on '1 Inputs'</t>
        </r>
      </text>
    </comment>
    <comment ref="E262" authorId="0" shapeId="0" xr:uid="{109D6E70-1E33-0B4B-960C-6894A9F029FD}">
      <text>
        <r>
          <rPr>
            <sz val="10"/>
            <color rgb="FF000000"/>
            <rFont val="Tahoma"/>
            <family val="2"/>
          </rPr>
          <t>All costs escalated from a mid-2017 basis to the current CatCost basis year entered on '1 Inputs'</t>
        </r>
      </text>
    </comment>
    <comment ref="E295" authorId="0" shapeId="0" xr:uid="{227226BE-4313-394F-8AB3-04B345781633}">
      <text>
        <r>
          <rPr>
            <sz val="10"/>
            <color rgb="FF000000"/>
            <rFont val="Tahoma"/>
            <family val="2"/>
          </rPr>
          <t>All costs escalated from a mid-2017 basis to the current CatCost basis year entered on '1 Inputs'</t>
        </r>
      </text>
    </comment>
    <comment ref="E328" authorId="0" shapeId="0" xr:uid="{FBAC6C48-F515-8B43-8D1C-26AD94F995E6}">
      <text>
        <r>
          <rPr>
            <sz val="10"/>
            <color rgb="FF000000"/>
            <rFont val="Tahoma"/>
            <family val="2"/>
          </rPr>
          <t>All costs escalated from a mid-2017 basis to the current CatCost basis year entered on '1 Inputs'</t>
        </r>
      </text>
    </comment>
    <comment ref="E363" authorId="0" shapeId="0" xr:uid="{EAC3FDF7-24FC-5547-A66B-031484F5936F}">
      <text>
        <r>
          <rPr>
            <sz val="10"/>
            <color rgb="FF000000"/>
            <rFont val="Tahoma"/>
            <family val="2"/>
          </rPr>
          <t>All costs escalated from a mid-2017 basis to the current CatCost basis year entered on '1 Inputs'</t>
        </r>
      </text>
    </comment>
    <comment ref="E402" authorId="0" shapeId="0" xr:uid="{6DAE0797-F933-CA4C-BDDF-4248330CC712}">
      <text>
        <r>
          <rPr>
            <sz val="10"/>
            <color rgb="FF000000"/>
            <rFont val="Tahoma"/>
            <family val="2"/>
          </rPr>
          <t>All costs escalated from a mid-2017 basis to the current CatCost basis year entered on '1 Inputs'</t>
        </r>
      </text>
    </comment>
    <comment ref="E435" authorId="0" shapeId="0" xr:uid="{C9F2E621-CDCF-DF4F-AFED-7BBDF9920FC2}">
      <text>
        <r>
          <rPr>
            <sz val="10"/>
            <color rgb="FF000000"/>
            <rFont val="Tahoma"/>
            <family val="2"/>
          </rPr>
          <t>All costs escalated from a mid-2017 basis to the current CatCost basis year entered on '1 Inputs'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F24" authorId="0" shapeId="0" xr:uid="{00000000-0006-0000-0400-00000100000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6" authorId="0" shapeId="0" xr:uid="{BDBB30A2-1FF5-3749-80B6-6B23EC7FB18C}">
      <text>
        <r>
          <rPr>
            <sz val="9"/>
            <color rgb="FF000000"/>
            <rFont val="Calibri"/>
            <family val="2"/>
          </rPr>
          <t>Selecting "active phase" requires an active phase weight percent be entered on "2 Materials"</t>
        </r>
      </text>
    </comment>
    <comment ref="F27" authorId="0" shapeId="0" xr:uid="{41F6224D-63B1-7547-801B-5DB1E51A2044}">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31" authorId="0" shapeId="0" xr:uid="{00000000-0006-0000-0400-000002000000}">
      <text>
        <r>
          <rPr>
            <sz val="9"/>
            <color rgb="FF000000"/>
            <rFont val="Calibri"/>
            <family val="2"/>
          </rPr>
          <t>This value is calculated automatically on "1 Inputs" based on the user's input for "Design Production, Annual" and other parameters.</t>
        </r>
      </text>
    </comment>
    <comment ref="D35" authorId="0" shapeId="0" xr:uid="{00000000-0006-0000-0400-000003000000}">
      <text>
        <r>
          <rPr>
            <sz val="9"/>
            <color rgb="FF000000"/>
            <rFont val="Calibri"/>
            <family val="2"/>
          </rPr>
          <t>For user's convenience (e.g. comparison to AspenPlus model) only.</t>
        </r>
      </text>
    </comment>
    <comment ref="E35" authorId="1" shapeId="0" xr:uid="{8C59AEEC-B0C9-7D4C-8F21-A5F561D958B1}">
      <text>
        <r>
          <rPr>
            <sz val="10"/>
            <color rgb="FF000000"/>
            <rFont val="Tahoma"/>
            <family val="2"/>
          </rPr>
          <t>Set to default to the cheapest construction material but should be edited to reflect process requirements.</t>
        </r>
      </text>
    </comment>
    <comment ref="I35" authorId="1" shapeId="0" xr:uid="{88A721F6-19CE-3B44-A39D-8B67DCCB5984}">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91" authorId="0" shapeId="0" xr:uid="{7DF07D19-2D1C-D24C-9B6B-84CEB5E84D39}">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93" authorId="0" shapeId="0" xr:uid="{AA791508-68FA-D245-B64E-47C627C4AD20}">
      <text>
        <r>
          <rPr>
            <sz val="9"/>
            <color rgb="FF000000"/>
            <rFont val="Calibri"/>
            <family val="2"/>
          </rPr>
          <t>Selecting "active phase" requires an active phase weight percent be entered on "2 Materials"</t>
        </r>
      </text>
    </comment>
    <comment ref="F94" authorId="0" shapeId="0" xr:uid="{0CD69018-806A-F744-AF39-422369D0AF2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98" authorId="0" shapeId="0" xr:uid="{96D0E4C3-B5EB-0B4F-9530-063C4B847E4C}">
      <text>
        <r>
          <rPr>
            <sz val="9"/>
            <color rgb="FF000000"/>
            <rFont val="Calibri"/>
            <family val="2"/>
          </rPr>
          <t>This value is calculated automatically on "1 Inputs" based on the user's input for "Design Production, Annual" and other parameters.</t>
        </r>
      </text>
    </comment>
    <comment ref="D102" authorId="0" shapeId="0" xr:uid="{4F9C92BC-98CA-1D48-8F1B-D29FA8897106}">
      <text>
        <r>
          <rPr>
            <sz val="9"/>
            <color rgb="FF000000"/>
            <rFont val="Calibri"/>
            <family val="2"/>
          </rPr>
          <t>For user's convenience (e.g. comparison to AspenPlus model) only.</t>
        </r>
      </text>
    </comment>
    <comment ref="E102" authorId="1" shapeId="0" xr:uid="{C52D5E7D-D66E-AE46-880C-9FBDC436CB7D}">
      <text>
        <r>
          <rPr>
            <sz val="10"/>
            <color rgb="FF000000"/>
            <rFont val="Tahoma"/>
            <family val="2"/>
          </rPr>
          <t>Set to default to the cheapest construction material but should be edited to reflect process requirements.</t>
        </r>
      </text>
    </comment>
    <comment ref="I102" authorId="1" shapeId="0" xr:uid="{6E8AAA1B-3E11-4F4F-99DD-B2792E2F9C51}">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38" authorId="0" shapeId="0" xr:uid="{679D37DA-FE55-B247-B6C2-919D418EF7A8}">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40" authorId="0" shapeId="0" xr:uid="{778826DF-7A7A-E245-BE99-B8218C2A8D2C}">
      <text>
        <r>
          <rPr>
            <sz val="9"/>
            <color rgb="FF000000"/>
            <rFont val="Calibri"/>
            <family val="2"/>
          </rPr>
          <t>Selecting "active phase" requires an active phase weight percent be entered on "2 Materials"</t>
        </r>
      </text>
    </comment>
    <comment ref="F141" authorId="0" shapeId="0" xr:uid="{8C40A01C-242A-B149-9A79-505347831157}">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45" authorId="0" shapeId="0" xr:uid="{DC7D00D3-1555-384E-B768-2EB8A494E942}">
      <text>
        <r>
          <rPr>
            <sz val="9"/>
            <color rgb="FF000000"/>
            <rFont val="Calibri"/>
            <family val="2"/>
          </rPr>
          <t>This value is calculated automatically on "1 Inputs" based on the user's input for "Design Production, Annual" and other parameters.</t>
        </r>
      </text>
    </comment>
    <comment ref="D149" authorId="0" shapeId="0" xr:uid="{F71BB5EB-ABA2-4549-BE45-6028B67DC5A8}">
      <text>
        <r>
          <rPr>
            <sz val="9"/>
            <color rgb="FF000000"/>
            <rFont val="Calibri"/>
            <family val="2"/>
          </rPr>
          <t>For user's convenience (e.g. comparison to AspenPlus model) only.</t>
        </r>
      </text>
    </comment>
    <comment ref="E149" authorId="1" shapeId="0" xr:uid="{88E309E9-553A-1B40-9227-4ED0AEA3052D}">
      <text>
        <r>
          <rPr>
            <sz val="10"/>
            <color rgb="FF000000"/>
            <rFont val="Tahoma"/>
            <family val="2"/>
          </rPr>
          <t>Set to default to the cheapest construction material but should be edited to reflect process requirements.</t>
        </r>
      </text>
    </comment>
    <comment ref="I149" authorId="1" shapeId="0" xr:uid="{9921D0F0-5C2E-0840-BF0A-E0EDD613E1F0}">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185" authorId="0" shapeId="0" xr:uid="{B83CA909-B76B-8948-AC2E-265537B6F550}">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187" authorId="0" shapeId="0" xr:uid="{63B63278-C110-E04E-8682-A9C010FCFE33}">
      <text>
        <r>
          <rPr>
            <sz val="9"/>
            <color rgb="FF000000"/>
            <rFont val="Calibri"/>
            <family val="2"/>
          </rPr>
          <t>Selecting "active phase" requires an active phase weight percent be entered on "2 Materials"</t>
        </r>
      </text>
    </comment>
    <comment ref="F188" authorId="0" shapeId="0" xr:uid="{C672652D-C3A7-634D-81D4-70C40DB0D929}">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192" authorId="0" shapeId="0" xr:uid="{76CAB912-6A9A-CD45-B058-B218FAC22DE8}">
      <text>
        <r>
          <rPr>
            <sz val="9"/>
            <color rgb="FF000000"/>
            <rFont val="Calibri"/>
            <family val="2"/>
          </rPr>
          <t>This value is calculated automatically on "1 Inputs" based on the user's input for "Design Production, Annual" and other parameters.</t>
        </r>
      </text>
    </comment>
    <comment ref="D196" authorId="0" shapeId="0" xr:uid="{393A18C9-462C-0B44-BB11-3C5F6D9C4B41}">
      <text>
        <r>
          <rPr>
            <sz val="9"/>
            <color rgb="FF000000"/>
            <rFont val="Calibri"/>
            <family val="2"/>
          </rPr>
          <t>For user's convenience (e.g. comparison to AspenPlus model) only.</t>
        </r>
      </text>
    </comment>
    <comment ref="E196" authorId="1" shapeId="0" xr:uid="{FE81F2DD-12D9-8743-97DD-998B09AFCCB5}">
      <text>
        <r>
          <rPr>
            <sz val="10"/>
            <color rgb="FF000000"/>
            <rFont val="Tahoma"/>
            <family val="2"/>
          </rPr>
          <t>Set to default to the cheapest construction material but should be edited to reflect process requirements.</t>
        </r>
      </text>
    </comment>
    <comment ref="I196" authorId="1" shapeId="0" xr:uid="{320EB327-B1A8-7046-AAE8-C8AA4032A2FF}">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 ref="F227" authorId="0" shapeId="0" xr:uid="{0B592E95-C135-E84E-9B54-474E3A01107E}">
      <text>
        <r>
          <rPr>
            <sz val="9"/>
            <color rgb="FF000000"/>
            <rFont val="Calibri"/>
            <family val="2"/>
          </rPr>
          <t>The production rate on which the equipment list and input sizing was based. This cell must contain a hard-coded value to function correctly, as it represents the catalyst production rate that was used to generate the hard-coded equipment list below (e.g. from an Aspen model). During model construction, as long as the Global Inputs parameters match those of the base process design, copying the "Current Design Production Rate" and pasting "values only" in this cell works well.</t>
        </r>
      </text>
    </comment>
    <comment ref="F229" authorId="0" shapeId="0" xr:uid="{3D6F6DDC-6A76-5F4E-B202-913D5A8D5299}">
      <text>
        <r>
          <rPr>
            <sz val="9"/>
            <color rgb="FF000000"/>
            <rFont val="Calibri"/>
            <family val="2"/>
          </rPr>
          <t>Selecting "active phase" requires an active phase weight percent be entered on "2 Materials"</t>
        </r>
      </text>
    </comment>
    <comment ref="F230" authorId="0" shapeId="0" xr:uid="{C7945546-BB57-DA4E-81E5-6EF700CE6EA1}">
      <text>
        <r>
          <rPr>
            <sz val="9"/>
            <color rgb="FF000000"/>
            <rFont val="Calibri"/>
            <family val="2"/>
          </rPr>
          <t>Note that the "month" and "year" options assume 10% maintenance downtime (a 90% on-stream factor) for a total of 7884 operating hours per year. The "hour," "day," and "week" selections do NOT incorporate this downtime because they are assumed to characterize the maximum throughput of the equiment while operating.</t>
        </r>
      </text>
    </comment>
    <comment ref="F234" authorId="0" shapeId="0" xr:uid="{EE43C394-9719-CA4A-939B-A349F2345D80}">
      <text>
        <r>
          <rPr>
            <sz val="9"/>
            <color rgb="FF000000"/>
            <rFont val="Calibri"/>
            <family val="2"/>
          </rPr>
          <t>This value is calculated automatically on "1 Inputs" based on the user's input for "Design Production, Annual" and other parameters.</t>
        </r>
      </text>
    </comment>
    <comment ref="D238" authorId="0" shapeId="0" xr:uid="{51FDFA02-2B41-994B-8A49-7A04437169D0}">
      <text>
        <r>
          <rPr>
            <sz val="9"/>
            <color rgb="FF000000"/>
            <rFont val="Calibri"/>
            <family val="2"/>
          </rPr>
          <t>For user's convenience (e.g. comparison to AspenPlus model) only.</t>
        </r>
      </text>
    </comment>
    <comment ref="E238" authorId="1" shapeId="0" xr:uid="{C50FB563-B2B8-8046-8B67-8096AE2946E2}">
      <text>
        <r>
          <rPr>
            <sz val="10"/>
            <color rgb="FF000000"/>
            <rFont val="Tahoma"/>
            <family val="2"/>
          </rPr>
          <t>Set to default to the cheapest construction material but should be edited to reflect process requirements.</t>
        </r>
      </text>
    </comment>
    <comment ref="I238" authorId="1" shapeId="0" xr:uid="{984CEB2C-C897-1440-8550-D744F2B91D2C}">
      <text>
        <r>
          <rPr>
            <sz val="10"/>
            <color rgb="FF000000"/>
            <rFont val="Tahoma"/>
            <family val="2"/>
          </rPr>
          <t xml:space="preserve">This cell is included only to help the user select the right piece of process equipment. For example, if a Compressor, reciprocating (minimum 100 hp) is entered with consumed power of 50 hp, a "&gt;&gt;&gt; Too Small &lt;&lt;&lt;" error will be returned. The user may want to use this cue to choose a "Compressor, rotary twin-screw" instead (minimum 10 hp).
</t>
        </r>
        <r>
          <rPr>
            <sz val="10"/>
            <color rgb="FF000000"/>
            <rFont val="Tahoma"/>
            <family val="2"/>
          </rPr>
          <t xml:space="preserve">
</t>
        </r>
        <r>
          <rPr>
            <sz val="10"/>
            <color rgb="FF000000"/>
            <rFont val="Tahoma"/>
            <family val="2"/>
          </rPr>
          <t>If equipment is entered outside the acceptable range for that cost correlation it will be automatically sized, using the minimum size if too small and duplicating the equiment if too large.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P12" authorId="0" shapeId="0" xr:uid="{183ED8CA-FCD8-2F41-BF06-50A00EE77CAF}">
      <text>
        <r>
          <rPr>
            <sz val="10"/>
            <color rgb="FF000000"/>
            <rFont val="Calibri"/>
            <family val="2"/>
          </rPr>
          <t xml:space="preserve">Assuming cooling water comes into plant at 90 </t>
        </r>
        <r>
          <rPr>
            <sz val="10"/>
            <color rgb="FF000000"/>
            <rFont val="Calibri"/>
            <family val="2"/>
          </rPr>
          <t>°</t>
        </r>
        <r>
          <rPr>
            <sz val="10"/>
            <color rgb="FF000000"/>
            <rFont val="Calibri"/>
            <family val="2"/>
          </rPr>
          <t xml:space="preserve">F and comes out at 110 </t>
        </r>
        <r>
          <rPr>
            <sz val="10"/>
            <color rgb="FF000000"/>
            <rFont val="Calibri"/>
            <family val="2"/>
          </rPr>
          <t>°</t>
        </r>
        <r>
          <rPr>
            <sz val="10"/>
            <color rgb="FF000000"/>
            <rFont val="Calibri"/>
            <family val="2"/>
          </rPr>
          <t>F</t>
        </r>
      </text>
    </comment>
    <comment ref="C19" authorId="0" shapeId="0" xr:uid="{00000000-0006-0000-0500-000001000000}">
      <text>
        <r>
          <rPr>
            <sz val="9"/>
            <color rgb="FF000000"/>
            <rFont val="Calibri"/>
            <family val="2"/>
          </rPr>
          <t>These process utility consumption rates should correspond to the process design and equipment from the previous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J29" authorId="0" shapeId="0" xr:uid="{8FB06698-4A31-7F4A-9487-1455573CABBE}">
      <text>
        <r>
          <rPr>
            <sz val="9"/>
            <color rgb="FF000000"/>
            <rFont val="Calibri"/>
            <family val="2"/>
          </rPr>
          <t>Working capital can also be calculated as 15% of FCI or TCI.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Kurt Van Allsburg</author>
  </authors>
  <commentList>
    <comment ref="K29" authorId="0" shapeId="0" xr:uid="{7F4F05F8-64B2-574B-BF91-8555243F6EB0}">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 ref="K30" authorId="0" shapeId="0" xr:uid="{28C6A467-7A83-6545-9263-DCFA4C156557}">
      <text>
        <r>
          <rPr>
            <sz val="9"/>
            <color rgb="FF000000"/>
            <rFont val="Calibri"/>
            <family val="2"/>
          </rPr>
          <t>If your catalyst contains precious/noble metals, please make sure to complete the "4 Spent Catalyst" sheet, as this line item will be reduced substantially after completion of that sheet. The reason this is important is that the "Distribution and Marketing" and "Research and Development" costs should not include precious metals purchase costs in their basis, because those costs come out of a pool account with separate overhead. See the documentation for more details.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Q5" authorId="0" shapeId="0" xr:uid="{00000000-0006-0000-0900-000001000000}">
      <text>
        <r>
          <rPr>
            <sz val="9"/>
            <color rgb="FF000000"/>
            <rFont val="Calibri"/>
            <family val="2"/>
          </rPr>
          <t>Representative catalyst densities provided to aid input in the spent catalyst inputs to the left. The  bulk density will also depend on the method used to fill the reactor.</t>
        </r>
      </text>
    </comment>
    <comment ref="I7" authorId="1" shapeId="0" xr:uid="{E639DDA4-026E-0D48-8E48-AB2DC6A64579}">
      <text>
        <r>
          <rPr>
            <sz val="10"/>
            <color rgb="FF000000"/>
            <rFont val="Tahoma"/>
            <family val="2"/>
          </rPr>
          <t>When "Sponge of metal (no support)" is selected, the Active Phase Weight Percent on '2 Materials' should be 100%.</t>
        </r>
      </text>
    </comment>
    <comment ref="I8" authorId="1" shapeId="0" xr:uid="{00000000-0006-0000-0900-000002000000}">
      <text>
        <r>
          <rPr>
            <sz val="10"/>
            <color rgb="FF000000"/>
            <rFont val="Tahoma"/>
            <family val="2"/>
          </rPr>
          <t>Fraction of metal to be recovered in the active phase (AP). For example, in Rh2P, the metal wt. % in AP is 86.92%.</t>
        </r>
      </text>
    </comment>
    <comment ref="I9" authorId="1" shapeId="0" xr:uid="{00000000-0006-0000-0900-000003000000}">
      <text>
        <r>
          <rPr>
            <sz val="10"/>
            <color rgb="FF000000"/>
            <rFont val="Tahoma"/>
            <family val="2"/>
          </rPr>
          <t>Please double-check that the value you have entered in column D is consistent with the units you have selected in column G (lb/ft3 or kg/m3).</t>
        </r>
      </text>
    </comment>
    <comment ref="I10" authorId="1" shapeId="0" xr:uid="{F690E20C-C1A4-D547-97E8-B9386F916431}">
      <text>
        <r>
          <rPr>
            <sz val="10"/>
            <color rgb="FF000000"/>
            <rFont val="Tahoma"/>
            <family val="2"/>
          </rPr>
          <t>Attrition losses depend on the intended use of the catalyst.</t>
        </r>
      </text>
    </comment>
    <comment ref="I11" authorId="1" shapeId="0" xr:uid="{00000000-0006-0000-0900-000004000000}">
      <text>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I12" authorId="1" shapeId="0" xr:uid="{00000000-0006-0000-0900-000005000000}">
      <text>
        <r>
          <rPr>
            <sz val="10"/>
            <color rgb="FF000000"/>
            <rFont val="Tahoma"/>
            <family val="2"/>
          </rPr>
          <t xml:space="preserve">Please consider whether your catalyst would be classified as hazardous waste or as one of the other types, including platinum group metals, etc.
</t>
        </r>
        <r>
          <rPr>
            <sz val="10"/>
            <color rgb="FF000000"/>
            <rFont val="Tahoma"/>
            <family val="2"/>
          </rPr>
          <t xml:space="preserve">
</t>
        </r>
        <r>
          <rPr>
            <sz val="10"/>
            <color rgb="FF000000"/>
            <rFont val="Tahoma"/>
            <family val="2"/>
          </rPr>
          <t>Hazardous metals: The catalyst will be classified as hazardous under US EPA RCRA rules if its leachable content of As, Ba, Cd, Cr, Pb, Hg, Se, or Ag exceeds the Toxicity Characteristic Leaching Procedure limits. See Table 5 in the Salvage Library for details on these limits as well as typical catalyst concentrations that would result in a "hazardous" classification through the TCLP.</t>
        </r>
      </text>
    </comment>
    <comment ref="I16" authorId="1" shapeId="0" xr:uid="{6E9F0BB6-05EE-5E4B-B621-773A6013FFA9}">
      <text>
        <r>
          <rPr>
            <sz val="10"/>
            <color rgb="FF000000"/>
            <rFont val="Tahoma"/>
            <family val="2"/>
          </rPr>
          <t>If an active phase weight percent is not specified on "2 Materials," this field will fail to calculate.</t>
        </r>
      </text>
    </comment>
    <comment ref="I17" authorId="1" shapeId="0" xr:uid="{00000000-0006-0000-0900-000007000000}">
      <text>
        <r>
          <rPr>
            <sz val="10"/>
            <color rgb="FF000000"/>
            <rFont val="Tahoma"/>
            <family val="34"/>
          </rPr>
          <t xml:space="preserve">Accounts for the metal portion of attrition losses to total catalyst charge that reduce the mass of solids reaching the refiner relative to the original fresh catalyst quantity. Because </t>
        </r>
        <r>
          <rPr>
            <sz val="10"/>
            <color rgb="FF000000"/>
            <rFont val="Tahoma"/>
            <family val="2"/>
          </rPr>
          <t>metal content is often concentrated on the surface of catalyst bodies and thus subject to greater attrition losses, as well as leaching, metals losses are generally larger than support losses.</t>
        </r>
      </text>
    </comment>
    <comment ref="I21" authorId="1" shapeId="0" xr:uid="{C6400085-F224-AF49-8C50-3279D8759A9B}">
      <text>
        <r>
          <rPr>
            <sz val="10"/>
            <color rgb="FF000000"/>
            <rFont val="Tahoma"/>
            <family val="2"/>
          </rPr>
          <t>Accounts for the support portion of attrition losses to total catalyst charge that reduce the mass of solids reaching the refiner relative to the original fresh catalyst quantity.</t>
        </r>
      </text>
    </comment>
    <comment ref="I32" authorId="1" shapeId="0" xr:uid="{00000000-0006-0000-0900-000008000000}">
      <text>
        <r>
          <rPr>
            <sz val="10"/>
            <color rgb="FF000000"/>
            <rFont val="Tahoma"/>
            <family val="2"/>
          </rPr>
          <t>The accuracy of the estimate depends on appropriate metals prices in the Spent Catalyst Library. Please check them and ensure that they meet your requirements. The prices in the Spent Catalyst Library are automatically escalated to the CatCost basis year entered on 1 Inputs.</t>
        </r>
      </text>
    </comment>
    <comment ref="I34" authorId="1" shapeId="0" xr:uid="{84EA4F8F-3B1C-A04C-BF6F-651F8F5EDC25}">
      <text>
        <r>
          <rPr>
            <sz val="10"/>
            <color rgb="FF000000"/>
            <rFont val="Tahoma"/>
            <family val="2"/>
          </rPr>
          <t>All costs escalated from a mid-2016 basis to the current CatCost basis year entered on '1 Inputs'</t>
        </r>
      </text>
    </comment>
    <comment ref="I35" authorId="1" shapeId="0" xr:uid="{00000000-0006-0000-0900-000009000000}">
      <text>
        <r>
          <rPr>
            <sz val="10"/>
            <color rgb="FF000000"/>
            <rFont val="Tahoma"/>
            <family val="2"/>
          </rPr>
          <t>The incoming fee covers materials processing, dissolution, and hydrometallurgy to recover the target metal. See documentation for more details on the processes used by metal recyclers.</t>
        </r>
      </text>
    </comment>
    <comment ref="I36" authorId="1" shapeId="0" xr:uid="{00000000-0006-0000-0900-00000A000000}">
      <text>
        <r>
          <rPr>
            <sz val="10"/>
            <color rgb="FF000000"/>
            <rFont val="Tahoma"/>
            <family val="2"/>
          </rPr>
          <t>To remove organics.</t>
        </r>
      </text>
    </comment>
    <comment ref="I37" authorId="1" shapeId="0" xr:uid="{00000000-0006-0000-0900-00000B000000}">
      <text>
        <r>
          <rPr>
            <sz val="10"/>
            <color rgb="FF000000"/>
            <rFont val="Tahoma"/>
            <family val="2"/>
          </rPr>
          <t>Only for platinum group and noble metals.</t>
        </r>
      </text>
    </comment>
    <comment ref="I38" authorId="1" shapeId="0" xr:uid="{00000000-0006-0000-0900-00000C000000}">
      <text>
        <r>
          <rPr>
            <sz val="10"/>
            <color rgb="FF000000"/>
            <rFont val="Tahoma"/>
            <family val="2"/>
          </rPr>
          <t>See note above at "Has trace Sn, Cu, Fe &gt; 2% of AP?". This fee is an addition to the "incoming" fee.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A11" authorId="0" shapeId="0" xr:uid="{C9742B17-3108-3C45-822F-021D2991DB3B}">
      <text>
        <r>
          <rPr>
            <sz val="10"/>
            <color rgb="FF000000"/>
            <rFont val="Calibri"/>
            <family val="2"/>
            <scheme val="minor"/>
          </rPr>
          <t>When using the Lab-Scale Log Fit pricing approach, the lab-scale price points are extrapolated to an industrial-scale order size. The Purchase Basis defines that order size.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AK1" authorId="0" shapeId="0" xr:uid="{00000000-0006-0000-1000-000001000000}">
      <text>
        <r>
          <rPr>
            <b/>
            <i/>
            <sz val="12"/>
            <color theme="3"/>
            <rFont val="Calibri"/>
            <family val="2"/>
            <scheme val="minor"/>
          </rPr>
          <t>Kurt Van Allsburg:</t>
        </r>
        <r>
          <rPr>
            <b/>
            <sz val="12"/>
            <color theme="5"/>
            <rFont val="Calibri"/>
            <family val="2"/>
            <scheme val="minor"/>
          </rPr>
          <t xml:space="preserve">
</t>
        </r>
        <r>
          <rPr>
            <b/>
            <sz val="12"/>
            <color theme="5"/>
            <rFont val="Calibri"/>
            <family val="2"/>
            <scheme val="minor"/>
          </rPr>
          <t>For Sinnott, taken from Guthrie factors found in Seider, Seader, Lewin 2009, except where noted.</t>
        </r>
      </text>
    </comment>
    <comment ref="AL1" authorId="1" shapeId="0" xr:uid="{00000000-0006-0000-1000-000002000000}">
      <text>
        <r>
          <rPr>
            <b/>
            <sz val="10"/>
            <color rgb="FF000000"/>
            <rFont val="Tahoma"/>
            <family val="2"/>
          </rPr>
          <t>Van Allsburg, Kurt:</t>
        </r>
        <r>
          <rPr>
            <sz val="10"/>
            <color rgb="FF000000"/>
            <rFont val="Tahoma"/>
            <family val="2"/>
          </rPr>
          <t xml:space="preserve">
</t>
        </r>
        <r>
          <rPr>
            <sz val="10"/>
            <color rgb="FF000000"/>
            <rFont val="Tahoma"/>
            <family val="2"/>
          </rPr>
          <t>See documentation for details of implementation from Garrett 1989.</t>
        </r>
      </text>
    </comment>
    <comment ref="AM1" authorId="1" shapeId="0" xr:uid="{00000000-0006-0000-1000-000003000000}">
      <text>
        <r>
          <rPr>
            <b/>
            <sz val="10"/>
            <color rgb="FF000000"/>
            <rFont val="Tahoma"/>
            <family val="2"/>
          </rPr>
          <t>Van Allsburg, Kurt:</t>
        </r>
        <r>
          <rPr>
            <sz val="10"/>
            <color rgb="FF000000"/>
            <rFont val="Tahoma"/>
            <family val="2"/>
          </rPr>
          <t xml:space="preserve">
</t>
        </r>
        <r>
          <rPr>
            <sz val="10"/>
            <color rgb="FF000000"/>
            <rFont val="Tahoma"/>
            <family val="2"/>
          </rPr>
          <t>Workers/unit/shift. Labor factors from Ulrich 2004 except where noted. Where a range has been given in a source; the midpoint was used (e.g. 0.2–0.4 workers/shift -&gt; 0.3 workers/shift)</t>
        </r>
      </text>
    </comment>
    <comment ref="D20" authorId="0" shapeId="0" xr:uid="{00000000-0006-0000-1000-00000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20" authorId="0" shapeId="0" xr:uid="{00000000-0006-0000-1000-00000E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1" authorId="0" shapeId="0" xr:uid="{00000000-0006-0000-1000-00000F000000}">
      <text>
        <r>
          <rPr>
            <b/>
            <sz val="9"/>
            <color indexed="81"/>
            <rFont val="Calibri"/>
            <family val="2"/>
          </rPr>
          <t>Kurt Van Allsburg:</t>
        </r>
        <r>
          <rPr>
            <sz val="9"/>
            <color indexed="81"/>
            <rFont val="Calibri"/>
            <family val="2"/>
          </rPr>
          <t xml:space="preserve">
No limits given in text</t>
        </r>
      </text>
    </comment>
    <comment ref="E21" authorId="0" shapeId="0" xr:uid="{00000000-0006-0000-1000-00001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D22" authorId="0" shapeId="0" xr:uid="{00000000-0006-0000-1000-000011000000}">
      <text>
        <r>
          <rPr>
            <b/>
            <sz val="9"/>
            <color indexed="81"/>
            <rFont val="Calibri"/>
            <family val="2"/>
          </rPr>
          <t>Kurt Van Allsburg:</t>
        </r>
        <r>
          <rPr>
            <sz val="9"/>
            <color indexed="81"/>
            <rFont val="Calibri"/>
            <family val="2"/>
          </rPr>
          <t xml:space="preserve">
No limits given in text</t>
        </r>
      </text>
    </comment>
    <comment ref="E22" authorId="0" shapeId="0" xr:uid="{00000000-0006-0000-1000-000012000000}">
      <text>
        <r>
          <rPr>
            <b/>
            <sz val="9"/>
            <color indexed="81"/>
            <rFont val="Calibri"/>
            <family val="2"/>
          </rPr>
          <t>Kurt Van Allsburg:</t>
        </r>
        <r>
          <rPr>
            <sz val="9"/>
            <color indexed="81"/>
            <rFont val="Calibri"/>
            <family val="2"/>
          </rPr>
          <t xml:space="preserve">
No limits given in text</t>
        </r>
      </text>
    </comment>
    <comment ref="D23" authorId="0" shapeId="0" xr:uid="{00000000-0006-0000-1000-000013000000}">
      <text>
        <r>
          <rPr>
            <b/>
            <sz val="9"/>
            <color indexed="81"/>
            <rFont val="Calibri"/>
            <family val="2"/>
          </rPr>
          <t>Kurt Van Allsburg:</t>
        </r>
        <r>
          <rPr>
            <sz val="9"/>
            <color indexed="81"/>
            <rFont val="Calibri"/>
            <family val="2"/>
          </rPr>
          <t xml:space="preserve">
No limits given in text</t>
        </r>
      </text>
    </comment>
    <comment ref="E23" authorId="0" shapeId="0" xr:uid="{00000000-0006-0000-1000-000014000000}">
      <text>
        <r>
          <rPr>
            <b/>
            <sz val="9"/>
            <color indexed="81"/>
            <rFont val="Calibri"/>
            <family val="2"/>
          </rPr>
          <t>Kurt Van Allsburg:</t>
        </r>
        <r>
          <rPr>
            <sz val="9"/>
            <color indexed="81"/>
            <rFont val="Calibri"/>
            <family val="2"/>
          </rPr>
          <t xml:space="preserve">
No limits given in text</t>
        </r>
      </text>
    </comment>
    <comment ref="D24" authorId="0" shapeId="0" xr:uid="{00000000-0006-0000-1000-000015000000}">
      <text>
        <r>
          <rPr>
            <b/>
            <sz val="9"/>
            <color indexed="81"/>
            <rFont val="Calibri"/>
            <family val="2"/>
          </rPr>
          <t>Kurt Van Allsburg:</t>
        </r>
        <r>
          <rPr>
            <sz val="9"/>
            <color indexed="81"/>
            <rFont val="Calibri"/>
            <family val="2"/>
          </rPr>
          <t xml:space="preserve">
No limits given in text</t>
        </r>
      </text>
    </comment>
    <comment ref="E24" authorId="0" shapeId="0" xr:uid="{00000000-0006-0000-1000-000016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30" authorId="1" shapeId="0" xr:uid="{00000000-0006-0000-1000-00001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1" authorId="1" shapeId="0" xr:uid="{00000000-0006-0000-1000-00001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2" authorId="1" shapeId="0" xr:uid="{00000000-0006-0000-1000-00001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3" authorId="1" shapeId="0" xr:uid="{00000000-0006-0000-1000-00001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36" authorId="1" shapeId="0" xr:uid="{00000000-0006-0000-1000-00001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39" authorId="1" shapeId="0" xr:uid="{00000000-0006-0000-1000-00001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Using pumps and drivers category from Guthrie</t>
        </r>
      </text>
    </comment>
    <comment ref="AL39" authorId="1" shapeId="0" xr:uid="{00000000-0006-0000-1000-00001D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0" authorId="1" shapeId="0" xr:uid="{00000000-0006-0000-1000-00001E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0" authorId="1" shapeId="0" xr:uid="{00000000-0006-0000-1000-00001F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1" authorId="1" shapeId="0" xr:uid="{00000000-0006-0000-1000-000020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1" authorId="1" shapeId="0" xr:uid="{00000000-0006-0000-1000-00002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K42" authorId="1" shapeId="0" xr:uid="{00000000-0006-0000-1000-000022000000}">
      <text>
        <r>
          <rPr>
            <b/>
            <sz val="10"/>
            <color rgb="FF000000"/>
            <rFont val="Tahoma"/>
            <family val="2"/>
          </rPr>
          <t>Van Allsburg, Kurt:</t>
        </r>
        <r>
          <rPr>
            <sz val="10"/>
            <color rgb="FF000000"/>
            <rFont val="Tahoma"/>
            <family val="2"/>
          </rPr>
          <t xml:space="preserve">
</t>
        </r>
        <r>
          <rPr>
            <sz val="10"/>
            <color rgb="FF000000"/>
            <rFont val="Tahoma"/>
            <family val="2"/>
          </rPr>
          <t>Using pumps and drivers category from Guthrie</t>
        </r>
      </text>
    </comment>
    <comment ref="AL42" authorId="1" shapeId="0" xr:uid="{00000000-0006-0000-1000-00002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M45" authorId="1" shapeId="0" xr:uid="{00000000-0006-0000-1000-00002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6" authorId="1" shapeId="0" xr:uid="{00000000-0006-0000-1000-000025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7" authorId="1" shapeId="0" xr:uid="{00000000-0006-0000-1000-000026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8" authorId="1" shapeId="0" xr:uid="{00000000-0006-0000-1000-000027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49" authorId="1" shapeId="0" xr:uid="{00000000-0006-0000-1000-00002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0" authorId="1" shapeId="0" xr:uid="{266ABBF9-A93D-1D4A-A26E-F0A184FC98DF}">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1" authorId="1" shapeId="0" xr:uid="{E16C2732-13D2-0649-99CD-EC618544B65D}">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2" authorId="1" shapeId="0" xr:uid="{F4125CDF-E112-3247-8071-2338DB87229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3" authorId="1" shapeId="0" xr:uid="{69D5662B-4BE4-CA44-A8D7-6F91CFEAE6CB}">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4" authorId="1" shapeId="0" xr:uid="{00000000-0006-0000-1000-00002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5" authorId="1" shapeId="0" xr:uid="{00000000-0006-0000-1000-00002A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56" authorId="1" shapeId="0" xr:uid="{00000000-0006-0000-1000-00002B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2" authorId="1" shapeId="0" xr:uid="{00000000-0006-0000-1000-00002C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65" authorId="1" shapeId="0" xr:uid="{00000000-0006-0000-1000-00002D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6" authorId="1" shapeId="0" xr:uid="{00000000-0006-0000-1000-00002E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7" authorId="1" shapeId="0" xr:uid="{00000000-0006-0000-1000-00002F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68" authorId="1" shapeId="0" xr:uid="{00000000-0006-0000-1000-000030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1" authorId="1" shapeId="0" xr:uid="{00000000-0006-0000-1000-000031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2" authorId="1" shapeId="0" xr:uid="{00000000-0006-0000-1000-000032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73" authorId="1" shapeId="0" xr:uid="{00000000-0006-0000-1000-000033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80" authorId="1" shapeId="0" xr:uid="{00000000-0006-0000-1000-00003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81" authorId="1" shapeId="0" xr:uid="{00000000-0006-0000-1000-00003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0" authorId="1" shapeId="0" xr:uid="{00000000-0006-0000-1000-000036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3" authorId="1" shapeId="0" xr:uid="{00000000-0006-0000-1000-00003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114" authorId="1" shapeId="0" xr:uid="{00000000-0006-0000-1000-000038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5" authorId="0" shapeId="0" xr:uid="{00000000-0006-0000-1000-000039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5" authorId="0" shapeId="0" xr:uid="{00000000-0006-0000-1000-00003A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5" authorId="1" shapeId="0" xr:uid="{00000000-0006-0000-1000-00003B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6" authorId="0" shapeId="0" xr:uid="{00000000-0006-0000-1000-00003C000000}">
      <text>
        <r>
          <rPr>
            <b/>
            <sz val="9"/>
            <color indexed="81"/>
            <rFont val="Calibri"/>
            <family val="2"/>
          </rPr>
          <t>Kurt Van Allsburg:</t>
        </r>
        <r>
          <rPr>
            <sz val="9"/>
            <color indexed="81"/>
            <rFont val="Calibri"/>
            <family val="2"/>
          </rPr>
          <t xml:space="preserve">
No limits given in text</t>
        </r>
      </text>
    </comment>
    <comment ref="E116" authorId="0" shapeId="0" xr:uid="{00000000-0006-0000-1000-00003D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6" authorId="1" shapeId="0" xr:uid="{00000000-0006-0000-1000-00003E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7" authorId="0" shapeId="0" xr:uid="{00000000-0006-0000-1000-00003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7" authorId="0" shapeId="0" xr:uid="{00000000-0006-0000-1000-000040000000}">
      <text>
        <r>
          <rPr>
            <b/>
            <sz val="9"/>
            <color indexed="81"/>
            <rFont val="Calibri"/>
            <family val="2"/>
          </rPr>
          <t>Kurt Van Allsburg:</t>
        </r>
        <r>
          <rPr>
            <sz val="9"/>
            <color indexed="81"/>
            <rFont val="Calibri"/>
            <family val="2"/>
          </rPr>
          <t xml:space="preserve">
No limits given in text</t>
        </r>
      </text>
    </comment>
    <comment ref="AM117" authorId="1" shapeId="0" xr:uid="{00000000-0006-0000-1000-000041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8" authorId="0" shapeId="0" xr:uid="{00000000-0006-0000-1000-000042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8" authorId="0" shapeId="0" xr:uid="{00000000-0006-0000-1000-000043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M118" authorId="1" shapeId="0" xr:uid="{00000000-0006-0000-1000-000044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D119" authorId="0" shapeId="0" xr:uid="{00000000-0006-0000-1000-000045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19" authorId="0" shapeId="0" xr:uid="{00000000-0006-0000-1000-000046000000}">
      <text>
        <r>
          <rPr>
            <b/>
            <sz val="9"/>
            <color indexed="81"/>
            <rFont val="Calibri"/>
            <family val="2"/>
          </rPr>
          <t>Kurt Van Allsburg:</t>
        </r>
        <r>
          <rPr>
            <sz val="9"/>
            <color indexed="81"/>
            <rFont val="Calibri"/>
            <family val="2"/>
          </rPr>
          <t xml:space="preserve">
No limits given in text</t>
        </r>
      </text>
    </comment>
    <comment ref="AM119" authorId="1" shapeId="0" xr:uid="{00000000-0006-0000-1000-00004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122" authorId="1" shapeId="0" xr:uid="{00000000-0006-0000-1000-000048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3" authorId="1" shapeId="0" xr:uid="{00000000-0006-0000-1000-000049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4" authorId="1" shapeId="0" xr:uid="{00000000-0006-0000-1000-00004A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5" authorId="1" shapeId="0" xr:uid="{00000000-0006-0000-1000-00004B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6" authorId="1" shapeId="0" xr:uid="{00000000-0006-0000-1000-00004C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27" authorId="1" shapeId="0" xr:uid="{00000000-0006-0000-1000-00004D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0" authorId="1" shapeId="0" xr:uid="{00000000-0006-0000-1000-00004E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1" authorId="1" shapeId="0" xr:uid="{00000000-0006-0000-1000-00004F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AL132" authorId="1" shapeId="0" xr:uid="{00000000-0006-0000-1000-000050000000}">
      <text>
        <r>
          <rPr>
            <b/>
            <sz val="10"/>
            <color rgb="FF000000"/>
            <rFont val="Tahoma"/>
            <family val="2"/>
          </rPr>
          <t>Van Allsburg, Kurt:</t>
        </r>
        <r>
          <rPr>
            <sz val="10"/>
            <color rgb="FF000000"/>
            <rFont val="Tahoma"/>
            <family val="2"/>
          </rPr>
          <t xml:space="preserve">
</t>
        </r>
        <r>
          <rPr>
            <sz val="10"/>
            <color rgb="FF000000"/>
            <rFont val="Tahoma"/>
            <family val="2"/>
          </rPr>
          <t>Category not included in Garrett; using upper bound of "mixer" range in Peters and Timmerhaus as proxy.</t>
        </r>
      </text>
    </comment>
    <comment ref="D139" authorId="0" shapeId="0" xr:uid="{00000000-0006-0000-1000-00005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39" authorId="0" shapeId="0" xr:uid="{00000000-0006-0000-1000-00005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0" authorId="0" shapeId="0" xr:uid="{00000000-0006-0000-1000-00005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0" authorId="0" shapeId="0" xr:uid="{00000000-0006-0000-1000-00005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1" authorId="0" shapeId="0" xr:uid="{00000000-0006-0000-1000-00005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1" authorId="0" shapeId="0" xr:uid="{00000000-0006-0000-1000-00005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2" authorId="0" shapeId="0" xr:uid="{00000000-0006-0000-1000-00005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2" authorId="0" shapeId="0" xr:uid="{00000000-0006-0000-1000-00005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3" authorId="0" shapeId="0" xr:uid="{00000000-0006-0000-1000-00005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3" authorId="0" shapeId="0" xr:uid="{00000000-0006-0000-1000-00005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4" authorId="0" shapeId="0" xr:uid="{00000000-0006-0000-1000-00005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4" authorId="0" shapeId="0" xr:uid="{00000000-0006-0000-1000-00005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5" authorId="0" shapeId="0" xr:uid="{00000000-0006-0000-1000-00005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5" authorId="0" shapeId="0" xr:uid="{00000000-0006-0000-1000-00005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6" authorId="0" shapeId="0" xr:uid="{00000000-0006-0000-1000-00005F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6" authorId="0" shapeId="0" xr:uid="{00000000-0006-0000-1000-000060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7" authorId="0" shapeId="0" xr:uid="{00000000-0006-0000-1000-000061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7" authorId="0" shapeId="0" xr:uid="{00000000-0006-0000-1000-000062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8" authorId="0" shapeId="0" xr:uid="{00000000-0006-0000-1000-000063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8" authorId="0" shapeId="0" xr:uid="{00000000-0006-0000-1000-000064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49" authorId="0" shapeId="0" xr:uid="{00000000-0006-0000-1000-000065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49" authorId="0" shapeId="0" xr:uid="{00000000-0006-0000-1000-000066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0" authorId="0" shapeId="0" xr:uid="{00000000-0006-0000-1000-000067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0" authorId="0" shapeId="0" xr:uid="{00000000-0006-0000-1000-000068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1" authorId="0" shapeId="0" xr:uid="{00000000-0006-0000-1000-000069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1" authorId="0" shapeId="0" xr:uid="{00000000-0006-0000-1000-00006A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2" authorId="0" shapeId="0" xr:uid="{00000000-0006-0000-1000-00006B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2" authorId="0" shapeId="0" xr:uid="{00000000-0006-0000-1000-00006C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3" authorId="0" shapeId="0" xr:uid="{00000000-0006-0000-1000-00006D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E153" authorId="0" shapeId="0" xr:uid="{00000000-0006-0000-1000-00006E000000}">
      <text>
        <r>
          <rPr>
            <b/>
            <sz val="9"/>
            <color rgb="FF000000"/>
            <rFont val="Calibri"/>
            <family val="2"/>
          </rPr>
          <t>Kurt Van Allsburg:</t>
        </r>
        <r>
          <rPr>
            <sz val="9"/>
            <color rgb="FF000000"/>
            <rFont val="Calibri"/>
            <family val="2"/>
          </rPr>
          <t xml:space="preserve">
</t>
        </r>
        <r>
          <rPr>
            <sz val="9"/>
            <color rgb="FF000000"/>
            <rFont val="Calibri"/>
            <family val="2"/>
          </rPr>
          <t>Size should always be 1 because this is a "scale-out" not "scale-up" item.</t>
        </r>
      </text>
    </comment>
    <comment ref="D154" authorId="0" shapeId="0" xr:uid="{00000000-0006-0000-1000-00006F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E154" authorId="0" shapeId="0" xr:uid="{00000000-0006-0000-1000-000070000000}">
      <text>
        <r>
          <rPr>
            <b/>
            <sz val="9"/>
            <color rgb="FF000000"/>
            <rFont val="Calibri"/>
            <family val="2"/>
          </rPr>
          <t>Kurt Van Allsburg:</t>
        </r>
        <r>
          <rPr>
            <sz val="9"/>
            <color rgb="FF000000"/>
            <rFont val="Calibri"/>
            <family val="2"/>
          </rPr>
          <t xml:space="preserve">
</t>
        </r>
        <r>
          <rPr>
            <sz val="9"/>
            <color rgb="FF000000"/>
            <rFont val="Calibri"/>
            <family val="2"/>
          </rPr>
          <t>No limits given in text</t>
        </r>
      </text>
    </comment>
    <comment ref="AL157" authorId="1" shapeId="0" xr:uid="{00000000-0006-0000-1000-000071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8" authorId="1" shapeId="0" xr:uid="{00000000-0006-0000-1000-000072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59" authorId="1" shapeId="0" xr:uid="{00000000-0006-0000-1000-000073000000}">
      <text>
        <r>
          <rPr>
            <b/>
            <sz val="10"/>
            <color rgb="FF000000"/>
            <rFont val="Tahoma"/>
            <family val="2"/>
          </rPr>
          <t>Van Allsburg, Kurt:</t>
        </r>
        <r>
          <rPr>
            <sz val="10"/>
            <color rgb="FF000000"/>
            <rFont val="Tahoma"/>
            <family val="2"/>
          </rPr>
          <t xml:space="preserve">
</t>
        </r>
        <r>
          <rPr>
            <sz val="10"/>
            <color rgb="FF000000"/>
            <rFont val="Tahoma"/>
            <family val="2"/>
          </rPr>
          <t>No Garrett value given for these equipment items, so the relative module costs were used to extrapolate where electric drive = 1.0 and a gas turbine, steam turbine, or ICE = 1.75.</t>
        </r>
      </text>
    </comment>
    <comment ref="AL162" authorId="1" shapeId="0" xr:uid="{00000000-0006-0000-1000-000074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3" authorId="1" shapeId="0" xr:uid="{00000000-0006-0000-1000-000075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4" authorId="1" shapeId="0" xr:uid="{00000000-0006-0000-1000-000076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65" authorId="1" shapeId="0" xr:uid="{00000000-0006-0000-1000-000077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6" authorId="1" shapeId="0" xr:uid="{00000000-0006-0000-1000-000078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166" authorId="1" shapeId="0" xr:uid="{00000000-0006-0000-1000-000079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AL166" authorId="1" shapeId="0" xr:uid="{00000000-0006-0000-1000-00007A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D167" authorId="1" shapeId="0" xr:uid="{00000000-0006-0000-1000-00007B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167" authorId="1" shapeId="0" xr:uid="{00000000-0006-0000-1000-00007C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AL167" authorId="1" shapeId="0" xr:uid="{00000000-0006-0000-1000-00007D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0" authorId="1" shapeId="0" xr:uid="{00000000-0006-0000-1000-00007E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1" authorId="1" shapeId="0" xr:uid="{00000000-0006-0000-1000-00007F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2" authorId="1" shapeId="0" xr:uid="{00000000-0006-0000-1000-000080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73" authorId="1" shapeId="0" xr:uid="{00000000-0006-0000-1000-000081000000}">
      <text>
        <r>
          <rPr>
            <b/>
            <sz val="10"/>
            <color rgb="FF000000"/>
            <rFont val="Tahoma"/>
            <family val="2"/>
          </rPr>
          <t>Van Allsburg, Kurt:</t>
        </r>
        <r>
          <rPr>
            <sz val="10"/>
            <color rgb="FF000000"/>
            <rFont val="Tahoma"/>
            <family val="2"/>
          </rPr>
          <t xml:space="preserve">
</t>
        </r>
        <r>
          <rPr>
            <sz val="10"/>
            <color rgb="FF000000"/>
            <rFont val="Tahoma"/>
            <family val="2"/>
          </rPr>
          <t>Uses value for reactors/towers.</t>
        </r>
      </text>
    </comment>
    <comment ref="AL182" authorId="1" shapeId="0" xr:uid="{00000000-0006-0000-1000-000082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183" authorId="1" shapeId="0" xr:uid="{00000000-0006-0000-1000-000083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Z220" authorId="1" shapeId="0" xr:uid="{15FF4191-6EF0-5B49-86A4-91DF346A30BB}">
      <text>
        <r>
          <rPr>
            <b/>
            <sz val="10"/>
            <color rgb="FF000000"/>
            <rFont val="Tahoma"/>
            <family val="2"/>
          </rPr>
          <t>Van Allsburg, Kurt:</t>
        </r>
        <r>
          <rPr>
            <sz val="10"/>
            <color rgb="FF000000"/>
            <rFont val="Tahoma"/>
            <family val="2"/>
          </rPr>
          <t xml:space="preserve">
</t>
        </r>
        <r>
          <rPr>
            <sz val="10"/>
            <color rgb="FF000000"/>
            <rFont val="Tahoma"/>
            <family val="2"/>
          </rPr>
          <t>Ulrich</t>
        </r>
      </text>
    </comment>
    <comment ref="AJ220" authorId="1" shapeId="0" xr:uid="{F2BB5FE6-51CB-8445-A50F-0B59F0DC2062}">
      <text>
        <r>
          <rPr>
            <b/>
            <sz val="10"/>
            <color rgb="FF000000"/>
            <rFont val="Tahoma"/>
            <family val="2"/>
          </rPr>
          <t>Van Allsburg, Kurt:</t>
        </r>
        <r>
          <rPr>
            <sz val="10"/>
            <color rgb="FF000000"/>
            <rFont val="Tahoma"/>
            <family val="2"/>
          </rPr>
          <t xml:space="preserve">
</t>
        </r>
        <r>
          <rPr>
            <sz val="10"/>
            <color rgb="FF000000"/>
            <rFont val="Tahoma"/>
            <family val="2"/>
          </rPr>
          <t>1.3 relative to C/S</t>
        </r>
      </text>
    </comment>
    <comment ref="X260" authorId="1" shapeId="0" xr:uid="{1092DFB5-A624-FB4C-9067-AACF8430F6B2}">
      <text>
        <r>
          <rPr>
            <b/>
            <sz val="10"/>
            <color rgb="FF000000"/>
            <rFont val="Tahoma"/>
            <family val="2"/>
          </rPr>
          <t>Van Allsburg, Kurt:</t>
        </r>
        <r>
          <rPr>
            <sz val="10"/>
            <color rgb="FF000000"/>
            <rFont val="Tahoma"/>
            <family val="2"/>
          </rPr>
          <t xml:space="preserve">
</t>
        </r>
        <r>
          <rPr>
            <sz val="10"/>
            <color rgb="FF000000"/>
            <rFont val="Tahoma"/>
            <family val="2"/>
          </rPr>
          <t>From Ulrich</t>
        </r>
      </text>
    </comment>
    <comment ref="AM260" authorId="1" shapeId="0" xr:uid="{00000000-0006-0000-1000-000084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62" authorId="1" shapeId="0" xr:uid="{00000000-0006-0000-1000-000085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L263" authorId="1" shapeId="0" xr:uid="{00000000-0006-0000-1000-000086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M263" authorId="1" shapeId="0" xr:uid="{00000000-0006-0000-1000-000087000000}">
      <text>
        <r>
          <rPr>
            <b/>
            <sz val="10"/>
            <color rgb="FF000000"/>
            <rFont val="Tahoma"/>
            <family val="2"/>
          </rPr>
          <t>Van Allsburg, Kurt:</t>
        </r>
        <r>
          <rPr>
            <sz val="10"/>
            <color rgb="FF000000"/>
            <rFont val="Tahoma"/>
            <family val="2"/>
          </rPr>
          <t xml:space="preserve">
</t>
        </r>
        <r>
          <rPr>
            <sz val="10"/>
            <color rgb="FF000000"/>
            <rFont val="Tahoma"/>
            <family val="2"/>
          </rPr>
          <t>Assumed as Ulrich does not directly cover this item.</t>
        </r>
      </text>
    </comment>
    <comment ref="AM272" authorId="1" shapeId="0" xr:uid="{00000000-0006-0000-1000-000088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M277" authorId="1" shapeId="0" xr:uid="{00000000-0006-0000-1000-000089000000}">
      <text>
        <r>
          <rPr>
            <b/>
            <sz val="10"/>
            <color rgb="FF000000"/>
            <rFont val="Tahoma"/>
            <family val="2"/>
          </rPr>
          <t>Van Allsburg, Kurt:</t>
        </r>
        <r>
          <rPr>
            <sz val="10"/>
            <color rgb="FF000000"/>
            <rFont val="Tahoma"/>
            <family val="2"/>
          </rPr>
          <t xml:space="preserve">
</t>
        </r>
        <r>
          <rPr>
            <sz val="10"/>
            <color rgb="FF000000"/>
            <rFont val="Tahoma"/>
            <family val="2"/>
          </rPr>
          <t>Peters and Timmerhaus 2003 Table 6-13</t>
        </r>
      </text>
    </comment>
    <comment ref="AK281" authorId="1" shapeId="0" xr:uid="{00000000-0006-0000-1000-00008A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2" authorId="1" shapeId="0" xr:uid="{00000000-0006-0000-1000-00008B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AK283" authorId="1" shapeId="0" xr:uid="{00000000-0006-0000-1000-00008C000000}">
      <text>
        <r>
          <rPr>
            <b/>
            <sz val="10"/>
            <color rgb="FF000000"/>
            <rFont val="Tahoma"/>
            <family val="2"/>
          </rPr>
          <t>Van Allsburg, Kurt:</t>
        </r>
        <r>
          <rPr>
            <sz val="10"/>
            <color rgb="FF000000"/>
            <rFont val="Tahoma"/>
            <family val="2"/>
          </rPr>
          <t xml:space="preserve">
</t>
        </r>
        <r>
          <rPr>
            <sz val="10"/>
            <color rgb="FF000000"/>
            <rFont val="Tahoma"/>
            <family val="2"/>
          </rPr>
          <t>Assumed from bucket conveyor</t>
        </r>
      </text>
    </comment>
    <comment ref="C284" authorId="1" shapeId="0" xr:uid="{00000000-0006-0000-1000-00008D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4" authorId="1" shapeId="0" xr:uid="{00000000-0006-0000-1000-00008E000000}">
      <text>
        <r>
          <rPr>
            <u/>
            <sz val="12"/>
            <color rgb="FF0000FF"/>
            <rFont val="Calibri"/>
            <family val="2"/>
          </rPr>
          <t>Van Allsburg, Kurt:</t>
        </r>
        <r>
          <rPr>
            <sz val="12"/>
            <color rgb="FF000000"/>
            <rFont val="Calibri"/>
            <family val="2"/>
          </rPr>
          <t xml:space="preserve">
</t>
        </r>
        <r>
          <rPr>
            <sz val="12"/>
            <color rgb="FF000000"/>
            <rFont val="Calibri"/>
            <family val="2"/>
          </rPr>
          <t>See notes for limits; these are computed based on those limits.</t>
        </r>
      </text>
    </comment>
    <comment ref="E284" authorId="1" shapeId="0" xr:uid="{00000000-0006-0000-1000-00008F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5" authorId="1" shapeId="0" xr:uid="{00000000-0006-0000-1000-000090000000}">
      <text>
        <r>
          <rPr>
            <b/>
            <sz val="10"/>
            <color rgb="FF000000"/>
            <rFont val="Tahoma"/>
            <family val="2"/>
          </rPr>
          <t>Van Allsburg, Kurt:</t>
        </r>
        <r>
          <rPr>
            <sz val="10"/>
            <color rgb="FF000000"/>
            <rFont val="Tahoma"/>
            <family val="2"/>
          </rPr>
          <t xml:space="preserve">
</t>
        </r>
        <r>
          <rPr>
            <sz val="10"/>
            <color rgb="FF000000"/>
            <rFont val="Tahoma"/>
            <family val="2"/>
          </rPr>
          <t>Rearranged as power law from original Seider 2017 reference</t>
        </r>
      </text>
    </comment>
    <comment ref="D285" authorId="1" shapeId="0" xr:uid="{00000000-0006-0000-1000-000091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5" authorId="1" shapeId="0" xr:uid="{00000000-0006-0000-1000-000092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6" authorId="1" shapeId="0" xr:uid="{00000000-0006-0000-1000-000093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6" authorId="1" shapeId="0" xr:uid="{00000000-0006-0000-1000-000094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6" authorId="1" shapeId="0" xr:uid="{00000000-0006-0000-1000-000095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7" authorId="1" shapeId="0" xr:uid="{00000000-0006-0000-1000-000096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7" authorId="1" shapeId="0" xr:uid="{00000000-0006-0000-1000-000097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7" authorId="1" shapeId="0" xr:uid="{00000000-0006-0000-1000-000098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C288" authorId="1" shapeId="0" xr:uid="{00000000-0006-0000-1000-000099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Rearranged as power law from original Seider 2017 reference</t>
        </r>
      </text>
    </comment>
    <comment ref="D288" authorId="1" shapeId="0" xr:uid="{00000000-0006-0000-1000-00009A000000}">
      <text>
        <r>
          <rPr>
            <b/>
            <sz val="10"/>
            <color rgb="FF000000"/>
            <rFont val="Tahoma"/>
            <family val="2"/>
          </rPr>
          <t>Van Allsburg, Kurt:</t>
        </r>
        <r>
          <rPr>
            <sz val="10"/>
            <color rgb="FF000000"/>
            <rFont val="Tahoma"/>
            <family val="2"/>
          </rPr>
          <t xml:space="preserve">
</t>
        </r>
        <r>
          <rPr>
            <sz val="10"/>
            <color rgb="FF000000"/>
            <rFont val="Tahoma"/>
            <family val="2"/>
          </rPr>
          <t>See notes for limits; these are computed based on those limits.</t>
        </r>
      </text>
    </comment>
    <comment ref="E288" authorId="1" shapeId="0" xr:uid="{00000000-0006-0000-1000-00009B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See notes for limits; these are computed based on those limits.</t>
        </r>
      </text>
    </comment>
    <comment ref="AK288" authorId="1" shapeId="0" xr:uid="{00000000-0006-0000-1000-00009C000000}">
      <text>
        <r>
          <rPr>
            <u/>
            <sz val="12"/>
            <color theme="10"/>
            <rFont val="Calibri"/>
            <family val="2"/>
            <scheme val="minor"/>
          </rPr>
          <t>Van Allsburg, Kurt:</t>
        </r>
        <r>
          <rPr>
            <sz val="12"/>
            <color theme="1"/>
            <rFont val="Calibri"/>
            <family val="2"/>
            <scheme val="minor"/>
          </rPr>
          <t xml:space="preserve">
</t>
        </r>
        <r>
          <rPr>
            <sz val="12"/>
            <color theme="1"/>
            <rFont val="Calibri"/>
            <family val="2"/>
            <scheme val="minor"/>
          </rPr>
          <t>Assumed from bucket conveyor</t>
        </r>
      </text>
    </comment>
    <comment ref="AL318" authorId="1" shapeId="0" xr:uid="{00000000-0006-0000-1000-00009D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19" authorId="1" shapeId="0" xr:uid="{00000000-0006-0000-1000-00009E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 ref="AL320" authorId="1" shapeId="0" xr:uid="{00000000-0006-0000-1000-00009F000000}">
      <text>
        <r>
          <rPr>
            <b/>
            <sz val="10"/>
            <color rgb="FF000000"/>
            <rFont val="Tahoma"/>
            <family val="2"/>
          </rPr>
          <t>Van Allsburg, Kurt:</t>
        </r>
        <r>
          <rPr>
            <sz val="10"/>
            <color rgb="FF000000"/>
            <rFont val="Tahoma"/>
            <family val="2"/>
          </rPr>
          <t xml:space="preserve">
</t>
        </r>
        <r>
          <rPr>
            <sz val="10"/>
            <color rgb="FF000000"/>
            <rFont val="Tahoma"/>
            <family val="2"/>
          </rPr>
          <t>Assumed as this category is not in Garrett.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Van Allsburg, Kurt</author>
  </authors>
  <commentList>
    <comment ref="T4" authorId="0" shapeId="0" xr:uid="{00000000-0006-0000-0E00-000001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U4" authorId="0" shapeId="0" xr:uid="{00000000-0006-0000-0E00-000002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 ref="V4" authorId="0" shapeId="0" xr:uid="{00000000-0006-0000-0E00-000003000000}">
      <text>
        <r>
          <rPr>
            <b/>
            <sz val="10"/>
            <color rgb="FF000000"/>
            <rFont val="Tahoma"/>
            <family val="2"/>
          </rPr>
          <t>Van Allsburg, Kurt:</t>
        </r>
        <r>
          <rPr>
            <sz val="10"/>
            <color rgb="FF000000"/>
            <rFont val="Tahoma"/>
            <family val="2"/>
          </rPr>
          <t xml:space="preserve">
</t>
        </r>
        <r>
          <rPr>
            <sz val="10"/>
            <color rgb="FF000000"/>
            <rFont val="Tahoma"/>
            <family val="2"/>
          </rPr>
          <t>Applies for catalysts containing Cu, Fe, Sn (or another contaminant known to the user) at &gt; 2% relative to the metal being recovered. For example, a catalyst having 2 wt. % Pt and 0.1% Cu would require this additional cost.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51" authorId="0" shapeId="0" xr:uid="{1CEC24F8-1762-4F4A-898F-B16BD8431212}">
      <text>
        <r>
          <rPr>
            <sz val="11"/>
            <color rgb="FF000000"/>
            <rFont val="Calibri"/>
            <family val="2"/>
          </rPr>
          <t xml:space="preserve">*  Preliminary. All indexes are subject to revision four months after original publication.
</t>
        </r>
      </text>
    </comment>
    <comment ref="D51" authorId="0" shapeId="0" xr:uid="{0800B68A-47E8-7F4F-8E01-C374AE1EBC18}">
      <text>
        <r>
          <rPr>
            <sz val="11"/>
            <color indexed="8"/>
            <rFont val="Calibri"/>
            <family val="2"/>
            <scheme val="minor"/>
          </rPr>
          <t xml:space="preserve">*  Preliminary. All indexes are subject to revision four months after original publication.
</t>
        </r>
      </text>
    </comment>
    <comment ref="E51" authorId="0" shapeId="0" xr:uid="{BC2C7D38-A7EA-1949-9B99-3A56A384CADF}">
      <text>
        <r>
          <rPr>
            <sz val="11"/>
            <color indexed="8"/>
            <rFont val="Calibri"/>
            <family val="2"/>
            <scheme val="minor"/>
          </rPr>
          <t xml:space="preserve">*  Preliminary. All indexes are subject to revision four months after original publication.
</t>
        </r>
      </text>
    </comment>
    <comment ref="F51" authorId="0" shapeId="0" xr:uid="{786BAEBD-6C1E-F545-AFCA-A09E0549E4C6}">
      <text>
        <r>
          <rPr>
            <sz val="11"/>
            <color indexed="8"/>
            <rFont val="Calibri"/>
            <family val="2"/>
            <scheme val="minor"/>
          </rPr>
          <t xml:space="preserve">*  Preliminary. All indexes are subject to revision four months after original publication.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Kurt Van Allsburg</author>
    <author>Van Allsburg, Kurt</author>
  </authors>
  <commentList>
    <comment ref="B4" authorId="0" shapeId="0" xr:uid="{00000000-0006-0000-1300-000001000000}">
      <text>
        <r>
          <rPr>
            <b/>
            <sz val="9"/>
            <color indexed="81"/>
            <rFont val="Calibri"/>
            <family val="2"/>
          </rPr>
          <t>Kurt Van Allsburg:</t>
        </r>
        <r>
          <rPr>
            <sz val="9"/>
            <color indexed="81"/>
            <rFont val="Calibri"/>
            <family val="2"/>
          </rPr>
          <t xml:space="preserve">
Chemical Engineering Plant Cost Index. Years 1957-1959 = 100</t>
        </r>
      </text>
    </comment>
    <comment ref="C4" authorId="0" shapeId="0" xr:uid="{00000000-0006-0000-1300-000002000000}">
      <text>
        <r>
          <rPr>
            <b/>
            <sz val="9"/>
            <color indexed="81"/>
            <rFont val="Calibri"/>
            <family val="2"/>
          </rPr>
          <t>Kurt Van Allsburg:</t>
        </r>
        <r>
          <rPr>
            <sz val="9"/>
            <color indexed="81"/>
            <rFont val="Calibri"/>
            <family val="2"/>
          </rPr>
          <t xml:space="preserve">
Marshall-Swift Process Industry Index Year 1926 = 100</t>
        </r>
      </text>
    </comment>
    <comment ref="D4" authorId="0" shapeId="0" xr:uid="{00000000-0006-0000-1300-000003000000}">
      <text>
        <r>
          <rPr>
            <b/>
            <sz val="9"/>
            <color indexed="81"/>
            <rFont val="Calibri"/>
            <family val="2"/>
          </rPr>
          <t>Kurt Van Allsburg:</t>
        </r>
        <r>
          <rPr>
            <sz val="9"/>
            <color indexed="81"/>
            <rFont val="Calibri"/>
            <family val="2"/>
          </rPr>
          <t xml:space="preserve">
Nelson-Farrar Refinery Construction Index Year 1946 = 100</t>
        </r>
      </text>
    </comment>
    <comment ref="E4" authorId="0" shapeId="0" xr:uid="{00000000-0006-0000-1300-000004000000}">
      <text>
        <r>
          <rPr>
            <b/>
            <sz val="9"/>
            <color indexed="81"/>
            <rFont val="Calibri"/>
            <family val="2"/>
          </rPr>
          <t>Kurt Van Allsburg:</t>
        </r>
        <r>
          <rPr>
            <sz val="9"/>
            <color indexed="81"/>
            <rFont val="Calibri"/>
            <family val="2"/>
          </rPr>
          <t xml:space="preserve">
Engineering News-Record Construction Index Year 1967 = 100</t>
        </r>
      </text>
    </comment>
    <comment ref="F4" authorId="0" shapeId="0" xr:uid="{00000000-0006-0000-1300-000005000000}">
      <text>
        <r>
          <rPr>
            <b/>
            <sz val="9"/>
            <color indexed="81"/>
            <rFont val="Calibri"/>
            <family val="2"/>
          </rPr>
          <t>Kurt Van Allsburg:</t>
        </r>
        <r>
          <rPr>
            <sz val="9"/>
            <color indexed="81"/>
            <rFont val="Calibri"/>
            <family val="2"/>
          </rPr>
          <t xml:space="preserve">
Direct from Chem. Eng. all years</t>
        </r>
      </text>
    </comment>
    <comment ref="C36" authorId="1" shapeId="0" xr:uid="{00000000-0006-0000-1300-000006000000}">
      <text>
        <r>
          <rPr>
            <b/>
            <sz val="10"/>
            <color rgb="FF000000"/>
            <rFont val="Tahoma"/>
            <family val="2"/>
          </rPr>
          <t>Van Allsburg, Kurt:</t>
        </r>
        <r>
          <rPr>
            <sz val="10"/>
            <color rgb="FF000000"/>
            <rFont val="Tahoma"/>
            <family val="2"/>
          </rPr>
          <t xml:space="preserve">
</t>
        </r>
        <r>
          <rPr>
            <sz val="10"/>
            <color rgb="FF000000"/>
            <rFont val="Calibri"/>
            <family val="2"/>
          </rPr>
          <t>Data from </t>
        </r>
        <r>
          <rPr>
            <i/>
            <sz val="10"/>
            <color rgb="FF000000"/>
            <rFont val="Calibri"/>
            <family val="2"/>
          </rPr>
          <t>Chemical Engineering</t>
        </r>
        <r>
          <rPr>
            <sz val="10"/>
            <color rgb="FF000000"/>
            <rFont val="Calibri"/>
            <family val="2"/>
          </rPr>
          <t> until April 2012</t>
        </r>
      </text>
    </comment>
    <comment ref="B43" authorId="1" shapeId="0" xr:uid="{4C1EFDDD-C620-DE40-9666-FEF5DB690E9F}">
      <text>
        <r>
          <rPr>
            <b/>
            <sz val="10"/>
            <color rgb="FF000000"/>
            <rFont val="Tahoma"/>
            <family val="2"/>
          </rPr>
          <t>Van Allsburg, Kurt:</t>
        </r>
        <r>
          <rPr>
            <sz val="10"/>
            <color rgb="FF000000"/>
            <rFont val="Tahoma"/>
            <family val="2"/>
          </rPr>
          <t xml:space="preserve">
</t>
        </r>
        <r>
          <rPr>
            <sz val="10"/>
            <color rgb="FF000000"/>
            <rFont val="Tahoma"/>
            <family val="2"/>
          </rPr>
          <t>Preliminary based on June 2018 release of final values for March 2018, which increased 5.1% year-on-year.</t>
        </r>
      </text>
    </comment>
  </commentList>
</comments>
</file>

<file path=xl/sharedStrings.xml><?xml version="1.0" encoding="utf-8"?>
<sst xmlns="http://schemas.openxmlformats.org/spreadsheetml/2006/main" count="7422" uniqueCount="1862">
  <si>
    <t>Economics</t>
  </si>
  <si>
    <t>Currency</t>
  </si>
  <si>
    <t>Mass Unit</t>
  </si>
  <si>
    <t>Metals Purchase Basis</t>
  </si>
  <si>
    <t>Organics Purchase Basis</t>
  </si>
  <si>
    <t>Output Units</t>
  </si>
  <si>
    <t>Capacity Factor</t>
  </si>
  <si>
    <t>hours</t>
  </si>
  <si>
    <t>years</t>
  </si>
  <si>
    <t>%</t>
  </si>
  <si>
    <t>USD ($)</t>
  </si>
  <si>
    <t>Operating Hours (Labor)</t>
  </si>
  <si>
    <t>Design Production, Annual</t>
  </si>
  <si>
    <t>Operating Hours (Production)</t>
  </si>
  <si>
    <t>Actual Production, Annual</t>
  </si>
  <si>
    <t>Production Capacity - Operating Hours</t>
  </si>
  <si>
    <t>Design Production Rate</t>
  </si>
  <si>
    <t>Material Name</t>
  </si>
  <si>
    <t>Unit</t>
  </si>
  <si>
    <t>…in selected output units</t>
  </si>
  <si>
    <t>lb</t>
  </si>
  <si>
    <t>User Input</t>
  </si>
  <si>
    <t>Quantity (Q)</t>
  </si>
  <si>
    <t>Pricing Calculations</t>
  </si>
  <si>
    <t>Stoichiometric Calculations</t>
  </si>
  <si>
    <t>Active Phase Weight Percent</t>
  </si>
  <si>
    <t>Active Phase Molecular Weight</t>
  </si>
  <si>
    <t>Yield Type: % Yield or Mass?</t>
  </si>
  <si>
    <t>Constants</t>
  </si>
  <si>
    <t>Molar Volume of Gas</t>
  </si>
  <si>
    <t>at STP (25 °C, 100 kPa)</t>
  </si>
  <si>
    <t>mL/mol</t>
  </si>
  <si>
    <t>R, mL*kPa/(K*mol)</t>
  </si>
  <si>
    <t>Active Phase Mass at Prep Scale</t>
  </si>
  <si>
    <t>Catalyst Mass at Prep Scale</t>
  </si>
  <si>
    <t>Stoichiometric Ratio AP/metal</t>
  </si>
  <si>
    <t>Q in mol</t>
  </si>
  <si>
    <t>Q low</t>
  </si>
  <si>
    <t>Q high</t>
  </si>
  <si>
    <t>Base</t>
  </si>
  <si>
    <t>Low</t>
  </si>
  <si>
    <t>High</t>
  </si>
  <si>
    <t>Currency Symbol</t>
  </si>
  <si>
    <t>Estimate Name</t>
  </si>
  <si>
    <t>Show/Hide Sensitivity Inputs Using +/- above</t>
  </si>
  <si>
    <t>Price low</t>
  </si>
  <si>
    <t>Price high</t>
  </si>
  <si>
    <t>This sheet provides standard unit conversions to minimize the length of formulas and eliminate hardcoded conversion values on other sheets.</t>
  </si>
  <si>
    <t>Full name</t>
  </si>
  <si>
    <t>Definition</t>
  </si>
  <si>
    <t>Unit of mass/weight</t>
  </si>
  <si>
    <t>Size in kg</t>
  </si>
  <si>
    <t>Unit of volume</t>
  </si>
  <si>
    <t>Size in L</t>
  </si>
  <si>
    <t>pound (US)</t>
  </si>
  <si>
    <t>base (US)</t>
  </si>
  <si>
    <t>Yes</t>
  </si>
  <si>
    <t>No</t>
  </si>
  <si>
    <t>-</t>
  </si>
  <si>
    <t>oz</t>
  </si>
  <si>
    <t>ounce (US)</t>
  </si>
  <si>
    <t>1/16 lb</t>
  </si>
  <si>
    <t>oz t</t>
  </si>
  <si>
    <t>troy ounce</t>
  </si>
  <si>
    <t>31.1034768 g</t>
  </si>
  <si>
    <t>short ton (US)</t>
  </si>
  <si>
    <t>2000 lb</t>
  </si>
  <si>
    <t>long ton (imperial)</t>
  </si>
  <si>
    <t>2240 lb</t>
  </si>
  <si>
    <t>metric ton</t>
  </si>
  <si>
    <t>1000 kg</t>
  </si>
  <si>
    <t>kg</t>
  </si>
  <si>
    <t>kilogram</t>
  </si>
  <si>
    <t>1000 g</t>
  </si>
  <si>
    <t>g</t>
  </si>
  <si>
    <t>gram</t>
  </si>
  <si>
    <t>base (SI)</t>
  </si>
  <si>
    <t>L</t>
  </si>
  <si>
    <t>liter</t>
  </si>
  <si>
    <t>mL</t>
  </si>
  <si>
    <t>milliliter</t>
  </si>
  <si>
    <t>1e-3 L</t>
  </si>
  <si>
    <t>µL</t>
  </si>
  <si>
    <t>microliter</t>
  </si>
  <si>
    <t>1e-6 L</t>
  </si>
  <si>
    <t>gal</t>
  </si>
  <si>
    <t>gallon (US)</t>
  </si>
  <si>
    <t>imperial gal</t>
  </si>
  <si>
    <t>gallon (imperial)</t>
  </si>
  <si>
    <t>base (imp)</t>
  </si>
  <si>
    <t>dry gal</t>
  </si>
  <si>
    <t>dry gallon (US)</t>
  </si>
  <si>
    <t>fl oz</t>
  </si>
  <si>
    <t>fluid ounce (US)</t>
  </si>
  <si>
    <t>cu ft</t>
  </si>
  <si>
    <t>cubic foot</t>
  </si>
  <si>
    <t>This sheet allows time-value scaling of price quote information to a single basis year.</t>
  </si>
  <si>
    <t>The information comes from the US Bureau of Labor Statistics with series ID listed below.</t>
  </si>
  <si>
    <t>PPI Industry Data</t>
  </si>
  <si>
    <t>Original Data Value</t>
  </si>
  <si>
    <t>Series Id:</t>
  </si>
  <si>
    <t>PCU325---325---</t>
  </si>
  <si>
    <t>Industry:</t>
  </si>
  <si>
    <t>Chemical mfg</t>
  </si>
  <si>
    <t>Product:</t>
  </si>
  <si>
    <t>Base Date:</t>
  </si>
  <si>
    <t>198412</t>
  </si>
  <si>
    <t>Years:</t>
  </si>
  <si>
    <t>1984 to 2017</t>
  </si>
  <si>
    <t>Year</t>
  </si>
  <si>
    <t>Jan</t>
  </si>
  <si>
    <t>Feb</t>
  </si>
  <si>
    <t>Mar</t>
  </si>
  <si>
    <t>Apr</t>
  </si>
  <si>
    <t>May</t>
  </si>
  <si>
    <t>Jun</t>
  </si>
  <si>
    <t>Jul</t>
  </si>
  <si>
    <t>Aug</t>
  </si>
  <si>
    <t>Sep</t>
  </si>
  <si>
    <t>Oct</t>
  </si>
  <si>
    <t>Nov</t>
  </si>
  <si>
    <t>Dec</t>
  </si>
  <si>
    <t>Annual</t>
  </si>
  <si>
    <t>g/mol</t>
  </si>
  <si>
    <t>Material Type</t>
  </si>
  <si>
    <t>MW (g/mol)</t>
  </si>
  <si>
    <t>Density (g/mL)</t>
  </si>
  <si>
    <t>Concentration (%)</t>
  </si>
  <si>
    <t>Lab-Scale Log Fit?</t>
  </si>
  <si>
    <t>Lab Quantity 1</t>
  </si>
  <si>
    <t>Lab Quantity 2</t>
  </si>
  <si>
    <t>Lab Quantity 3</t>
  </si>
  <si>
    <t>Lab Quantity 4</t>
  </si>
  <si>
    <t>Lab Units</t>
  </si>
  <si>
    <t>Lab Price 1</t>
  </si>
  <si>
    <t>Lab Price 2</t>
  </si>
  <si>
    <t>Lab Price 3</t>
  </si>
  <si>
    <t>Lab Price 4</t>
  </si>
  <si>
    <t>Lab Quote Count</t>
  </si>
  <si>
    <t>Lab Q Model Units 1</t>
  </si>
  <si>
    <t>Lab Q Model Units 2</t>
  </si>
  <si>
    <t>Lab Q Model Units 3</t>
  </si>
  <si>
    <t>Lab Q Model Units 4</t>
  </si>
  <si>
    <t>Lab Unit P 1</t>
  </si>
  <si>
    <t>Lab Unit P 2</t>
  </si>
  <si>
    <t>Lab Unit P 3</t>
  </si>
  <si>
    <t>Lab Unit P 4</t>
  </si>
  <si>
    <t>Lab Log-Log Slope</t>
  </si>
  <si>
    <t>Lab Log-Log Intercept</t>
  </si>
  <si>
    <t>Basis Cell</t>
  </si>
  <si>
    <t>Bulk Quote Price ($)</t>
  </si>
  <si>
    <t>Bulk Quote Quantity</t>
  </si>
  <si>
    <t>Bulk Quote Units</t>
  </si>
  <si>
    <t>Quote Year</t>
  </si>
  <si>
    <t>Quote Source</t>
  </si>
  <si>
    <t>Quote Access Date</t>
  </si>
  <si>
    <t>Bulk quote quantity in model units</t>
  </si>
  <si>
    <t>Unit price in quote year</t>
  </si>
  <si>
    <t>Unit price</t>
  </si>
  <si>
    <t>Unit price dimensions</t>
  </si>
  <si>
    <t>Notes</t>
  </si>
  <si>
    <t>Support</t>
  </si>
  <si>
    <t>?</t>
  </si>
  <si>
    <t>ICIS</t>
  </si>
  <si>
    <t>MassNames</t>
  </si>
  <si>
    <t>VolNames</t>
  </si>
  <si>
    <t>Lab Forecast Unit Price (Output Mass Units)</t>
  </si>
  <si>
    <t>Show/Hide Calculation Columns Using +/- above</t>
  </si>
  <si>
    <t>Show/Hide Lab-Scale Columns Using +/– Symbol Above</t>
  </si>
  <si>
    <t>For Lab-Scale Log Fit,  Show/Hide Lab-Scale Columns Using +/– Symbol Above</t>
  </si>
  <si>
    <t>at 70 °F, 101.35 kPa (SCF definition)</t>
  </si>
  <si>
    <t>Metal</t>
  </si>
  <si>
    <t>Spot Price ($)</t>
  </si>
  <si>
    <t>Source</t>
  </si>
  <si>
    <t>Price $ / Model Mass Unit</t>
  </si>
  <si>
    <t>Units</t>
  </si>
  <si>
    <t>Iron</t>
  </si>
  <si>
    <t>Cobalt</t>
  </si>
  <si>
    <t>InvestmentMine</t>
  </si>
  <si>
    <t>Nickel</t>
  </si>
  <si>
    <t>Copper</t>
  </si>
  <si>
    <t>Aluminum</t>
  </si>
  <si>
    <t>Molybdenum</t>
  </si>
  <si>
    <t>Ruthenium</t>
  </si>
  <si>
    <t>Rhodium</t>
  </si>
  <si>
    <t>Palladium</t>
  </si>
  <si>
    <t>Tungsten</t>
  </si>
  <si>
    <t>Iridium</t>
  </si>
  <si>
    <t>Platinum</t>
  </si>
  <si>
    <t>Silver</t>
  </si>
  <si>
    <t>Gold</t>
  </si>
  <si>
    <t>Purchased Equipment</t>
  </si>
  <si>
    <t>Installation</t>
  </si>
  <si>
    <t>Instrumentation and Controls</t>
  </si>
  <si>
    <t>Piping</t>
  </si>
  <si>
    <t>Electrical</t>
  </si>
  <si>
    <t>Buildings</t>
  </si>
  <si>
    <t>Yard Improvements</t>
  </si>
  <si>
    <t>Service Facilities</t>
  </si>
  <si>
    <t>Waste Treatment</t>
  </si>
  <si>
    <t>Land</t>
  </si>
  <si>
    <t>Engineering and Supervision</t>
  </si>
  <si>
    <t>Construction Expenses</t>
  </si>
  <si>
    <t>Legal Expenses</t>
  </si>
  <si>
    <t>Contractor's Fee</t>
  </si>
  <si>
    <t>Contingency</t>
  </si>
  <si>
    <t>Working Capital</t>
  </si>
  <si>
    <t>Note</t>
  </si>
  <si>
    <t>Direct Labor Operators (rounded up)</t>
  </si>
  <si>
    <t>Direct Labor Hours per Year</t>
  </si>
  <si>
    <t>Rent, % of value of rented land</t>
  </si>
  <si>
    <t>Plant Overhead, % of LSM</t>
  </si>
  <si>
    <t>http://data.bls.gov/cgi-bin/srgate</t>
  </si>
  <si>
    <t>Updated:</t>
  </si>
  <si>
    <t>Source:</t>
  </si>
  <si>
    <t>Excel output from BLS website follows:</t>
  </si>
  <si>
    <t>% of purchased equipment cost</t>
  </si>
  <si>
    <t>Outputs (considering waste/spoilage)</t>
  </si>
  <si>
    <t>Losses Due to Waste/Spoilage</t>
  </si>
  <si>
    <t>Units for Size, S</t>
  </si>
  <si>
    <t>S lower</t>
  </si>
  <si>
    <t>S upper</t>
  </si>
  <si>
    <t>a</t>
  </si>
  <si>
    <t>b</t>
  </si>
  <si>
    <t>Mixer, propeller</t>
  </si>
  <si>
    <t>driver power, kW</t>
  </si>
  <si>
    <t>Mixer, spiral ribbon</t>
  </si>
  <si>
    <t>Mixer, static</t>
  </si>
  <si>
    <t>L/s</t>
  </si>
  <si>
    <t>kg/h steam</t>
  </si>
  <si>
    <t>Centrifuge, high speed disk</t>
  </si>
  <si>
    <t>diameter, m</t>
  </si>
  <si>
    <t>Centrifuge, atmospheric suspended basket</t>
  </si>
  <si>
    <t>power, kW</t>
  </si>
  <si>
    <t>Compressor, blower</t>
  </si>
  <si>
    <t>m3/h</t>
  </si>
  <si>
    <t>Compressor, centrifugal</t>
  </si>
  <si>
    <t>Compressor, reciprocating</t>
  </si>
  <si>
    <t>Conveyor, belt, 0.5 m wide</t>
  </si>
  <si>
    <t>length, m</t>
  </si>
  <si>
    <t>Conveyor, belt, 1.0 m wide</t>
  </si>
  <si>
    <t>Conveyor, bucket elevator, 0.5 m bucket</t>
  </si>
  <si>
    <t>Crusher, reversible hammer mill</t>
  </si>
  <si>
    <t>ton/h</t>
  </si>
  <si>
    <t>Crusher, pulverizer</t>
  </si>
  <si>
    <t>kg/h</t>
  </si>
  <si>
    <t>Crusher, jaw</t>
  </si>
  <si>
    <t>Crusher, gyratory</t>
  </si>
  <si>
    <t>Crusher, ball mill</t>
  </si>
  <si>
    <t>Crystallizer, scraped surface</t>
  </si>
  <si>
    <t>m2</t>
  </si>
  <si>
    <t>area, m2</t>
  </si>
  <si>
    <t>evap rate kg/h</t>
  </si>
  <si>
    <t>Evaporator, vertical tube</t>
  </si>
  <si>
    <t>Evaporator, agitated falling film</t>
  </si>
  <si>
    <t>304 ss</t>
  </si>
  <si>
    <t>capacity, m3</t>
  </si>
  <si>
    <t>Furnace, cylindrical</t>
  </si>
  <si>
    <t>duty, MW</t>
  </si>
  <si>
    <t>Furnace, box</t>
  </si>
  <si>
    <t>Packing, 304 ss Raschig rings</t>
  </si>
  <si>
    <t>m3</t>
  </si>
  <si>
    <t>Packing, ceramic intalox saddles</t>
  </si>
  <si>
    <t>ceramic</t>
  </si>
  <si>
    <t>Packing, 304 ss Pall rings</t>
  </si>
  <si>
    <t>Packing, PVC structured packing</t>
  </si>
  <si>
    <t>PVC</t>
  </si>
  <si>
    <t>Packing, 304 ss structured packing, 350 m2/m3</t>
  </si>
  <si>
    <t>Pressure vessel, vertical</t>
  </si>
  <si>
    <t>shell mass, kg</t>
  </si>
  <si>
    <t>Not including heads, ports, brackets, internals, etc. (see Chapter 14 for how to calculate wall thickness).</t>
  </si>
  <si>
    <t>Pressure vessel, horizontal</t>
  </si>
  <si>
    <t>Pressure vessel, vertical, 304 ss</t>
  </si>
  <si>
    <t>Pressure vessel, horizontal, 304 ss</t>
  </si>
  <si>
    <t>Pump, single stage centrifugal</t>
  </si>
  <si>
    <t>flow, L/s</t>
  </si>
  <si>
    <t>Pump, explosion proof</t>
  </si>
  <si>
    <t>Pump, condensing steam turbine</t>
  </si>
  <si>
    <t>Reactor, jacketed, agitated</t>
  </si>
  <si>
    <t>volume, m3</t>
  </si>
  <si>
    <t>Reactor, jacketed, agitated, glass-lined</t>
  </si>
  <si>
    <t>Tray, sieve</t>
  </si>
  <si>
    <t>Cost per tray based on a stack of 30 trays</t>
  </si>
  <si>
    <t>Tray, valve</t>
  </si>
  <si>
    <t>Tray, bubble cap</t>
  </si>
  <si>
    <t>Cooling tower w/ pumps, field assembled</t>
  </si>
  <si>
    <t>Refrigerator evaporator, packaged mechanical</t>
  </si>
  <si>
    <t>duty, kW</t>
  </si>
  <si>
    <t>Water ion exchange plant</t>
  </si>
  <si>
    <t>flow, m3/h</t>
  </si>
  <si>
    <t>Name</t>
  </si>
  <si>
    <t>Dryers</t>
  </si>
  <si>
    <t>Column Packings</t>
  </si>
  <si>
    <t>Tanks</t>
  </si>
  <si>
    <t>CEPCI</t>
  </si>
  <si>
    <t>NF Refinery</t>
  </si>
  <si>
    <t>Function Type</t>
  </si>
  <si>
    <t>1 - Power Law</t>
  </si>
  <si>
    <t>This table covers capital-specific cost indices used to scale equipment quotes, etc.</t>
  </si>
  <si>
    <t>MS</t>
  </si>
  <si>
    <t>NF</t>
  </si>
  <si>
    <t>ENR</t>
  </si>
  <si>
    <t>CEPCI Equip</t>
  </si>
  <si>
    <t>Evaporator, short tube and horizontal spray tube</t>
  </si>
  <si>
    <t>Nominal filter area, A (m2)</t>
  </si>
  <si>
    <t>Heat transfer surface area, A (m2)</t>
  </si>
  <si>
    <t>Equipment Type</t>
  </si>
  <si>
    <t>Size Unit</t>
  </si>
  <si>
    <t>Within Size Limits?</t>
  </si>
  <si>
    <t>Quantity</t>
  </si>
  <si>
    <t>Purchase Cost</t>
  </si>
  <si>
    <t>Labor Factor</t>
  </si>
  <si>
    <t>User Label</t>
  </si>
  <si>
    <t>Material of Construction</t>
  </si>
  <si>
    <t>Size</t>
  </si>
  <si>
    <t>Boilers</t>
  </si>
  <si>
    <t>Utilities</t>
  </si>
  <si>
    <t>R-101</t>
  </si>
  <si>
    <t>R-102</t>
  </si>
  <si>
    <t>S-101</t>
  </si>
  <si>
    <t>S-102</t>
  </si>
  <si>
    <t>Scaling to Current Design Production Rate</t>
  </si>
  <si>
    <t>Outputs at Current Design Production Rate</t>
  </si>
  <si>
    <t>Material 1</t>
  </si>
  <si>
    <t>Material 2</t>
  </si>
  <si>
    <t>Material 3</t>
  </si>
  <si>
    <t>Material 4</t>
  </si>
  <si>
    <t>Material 5</t>
  </si>
  <si>
    <t>Material 6</t>
  </si>
  <si>
    <t>Material 7</t>
  </si>
  <si>
    <t>Factor 1</t>
  </si>
  <si>
    <t>Factor 2</t>
  </si>
  <si>
    <t>Factor 3</t>
  </si>
  <si>
    <t>Factor 4</t>
  </si>
  <si>
    <t>Factor 5</t>
  </si>
  <si>
    <t>Factor 6</t>
  </si>
  <si>
    <t>Factor 7</t>
  </si>
  <si>
    <t>Carbon steel</t>
  </si>
  <si>
    <t>Aluminum and bronze</t>
  </si>
  <si>
    <t>Cast steel</t>
  </si>
  <si>
    <t>304 stainless steel</t>
  </si>
  <si>
    <t>316 stainless steel</t>
  </si>
  <si>
    <t>321 stainless steel</t>
  </si>
  <si>
    <t>Hastelloy C</t>
  </si>
  <si>
    <t>Monel</t>
  </si>
  <si>
    <t>Nickel and Inconel</t>
  </si>
  <si>
    <t>Material 8</t>
  </si>
  <si>
    <t>Material 9</t>
  </si>
  <si>
    <t>Factor 8</t>
  </si>
  <si>
    <t>Factor 9</t>
  </si>
  <si>
    <t>Ceramic</t>
  </si>
  <si>
    <t>Pricing Basis Material</t>
  </si>
  <si>
    <t>Polypropylene</t>
  </si>
  <si>
    <t>Stainless steel</t>
  </si>
  <si>
    <t>Copper alloy</t>
  </si>
  <si>
    <t>Nickel alloy</t>
  </si>
  <si>
    <t>Titanium</t>
  </si>
  <si>
    <t>Installation Factor (Garrett)</t>
  </si>
  <si>
    <t>Installed Cost</t>
  </si>
  <si>
    <t>Totals</t>
  </si>
  <si>
    <t>Direct Labor Rate</t>
  </si>
  <si>
    <t>% of DL</t>
  </si>
  <si>
    <t>Supervisory and Clerical Labor</t>
  </si>
  <si>
    <t>Direct Labor Cost (DL)</t>
  </si>
  <si>
    <t>hr/yr</t>
  </si>
  <si>
    <t>Laboratory Charges</t>
  </si>
  <si>
    <t>% of FCI</t>
  </si>
  <si>
    <t>Operating Supplies</t>
  </si>
  <si>
    <t>% of M&amp;R</t>
  </si>
  <si>
    <t>Maintenance and Repair (M&amp;R)</t>
  </si>
  <si>
    <t>Local Taxes</t>
  </si>
  <si>
    <t>Insurance</t>
  </si>
  <si>
    <t>% of LSM</t>
  </si>
  <si>
    <t>% of land</t>
  </si>
  <si>
    <t>Total: Labor, Supplies, Maintenance, Lab (LSM)</t>
  </si>
  <si>
    <t>Total: Taxes, Insurance, Rent, Overhead</t>
  </si>
  <si>
    <t>Administration</t>
  </si>
  <si>
    <t>Research and Development</t>
  </si>
  <si>
    <t>Distribution and Marketing</t>
  </si>
  <si>
    <t>Total: Admin, Dist., Mkting., R&amp;D</t>
  </si>
  <si>
    <t>Utility</t>
  </si>
  <si>
    <t>Cooling Water</t>
  </si>
  <si>
    <t>Process Water</t>
  </si>
  <si>
    <t>Steam, 150 psig</t>
  </si>
  <si>
    <t>Steam, 600 psig</t>
  </si>
  <si>
    <t>Electricity</t>
  </si>
  <si>
    <t>Natural gas</t>
  </si>
  <si>
    <t>Catalyst Mass</t>
  </si>
  <si>
    <t>Clay</t>
  </si>
  <si>
    <t>Production Capacity - Catalyst</t>
  </si>
  <si>
    <t>Cost Item</t>
  </si>
  <si>
    <t>Fixed Capital Investment</t>
  </si>
  <si>
    <t>Direct Capital</t>
  </si>
  <si>
    <t>Total Direct</t>
  </si>
  <si>
    <t>Indirect Capital</t>
  </si>
  <si>
    <t>Total Indirect</t>
  </si>
  <si>
    <t>Total Fixed Capital Investment (FCI)</t>
  </si>
  <si>
    <t>Direct Operating Costs</t>
  </si>
  <si>
    <t>Raw Materials</t>
  </si>
  <si>
    <t>Process Utilities</t>
  </si>
  <si>
    <t>Labor, Supplies, Maintenance, Lab</t>
  </si>
  <si>
    <t>Indirect Operating Costs</t>
  </si>
  <si>
    <t>Taxes, Insurance, Rent, Overhead</t>
  </si>
  <si>
    <t>General Expenses</t>
  </si>
  <si>
    <t>Admin, Dist., Mkting., R&amp;D</t>
  </si>
  <si>
    <t>kgal</t>
  </si>
  <si>
    <t>ton</t>
  </si>
  <si>
    <t>kWh</t>
  </si>
  <si>
    <t>MMBtu</t>
  </si>
  <si>
    <t>Dollars</t>
  </si>
  <si>
    <t>Return on Capital Investment</t>
  </si>
  <si>
    <t>Total Capital Investment</t>
  </si>
  <si>
    <t>Operating Costs</t>
  </si>
  <si>
    <t>Total Operating Costs</t>
  </si>
  <si>
    <t>Total Catalyst Cost</t>
  </si>
  <si>
    <t>Global Inputs</t>
  </si>
  <si>
    <t>Materials Calculation Inputs</t>
  </si>
  <si>
    <t>Materials Cost Totals</t>
  </si>
  <si>
    <t>Total Capital Investment (TCI)</t>
  </si>
  <si>
    <t>Direct Labor</t>
  </si>
  <si>
    <t>Fixed/Indirect Operating Costs</t>
  </si>
  <si>
    <t>operators</t>
  </si>
  <si>
    <t>Unit Cost</t>
  </si>
  <si>
    <t>Cost Estimate Outputs</t>
  </si>
  <si>
    <t>Input Formats</t>
  </si>
  <si>
    <t>Completed input</t>
  </si>
  <si>
    <t>Other Formats</t>
  </si>
  <si>
    <t>Required drop-down entry</t>
  </si>
  <si>
    <t>Optional drop-down entry</t>
  </si>
  <si>
    <t>Key output</t>
  </si>
  <si>
    <t>Sensitivities Key</t>
  </si>
  <si>
    <t>Inputs</t>
  </si>
  <si>
    <t>Input 1</t>
  </si>
  <si>
    <t>Input 2</t>
  </si>
  <si>
    <r>
      <rPr>
        <sz val="12"/>
        <color rgb="FF800000"/>
        <rFont val="Calibri"/>
        <family val="2"/>
        <scheme val="minor"/>
      </rPr>
      <t xml:space="preserve">   above</t>
    </r>
    <r>
      <rPr>
        <sz val="12"/>
        <color theme="1"/>
        <rFont val="Calibri"/>
        <family val="2"/>
        <scheme val="minor"/>
      </rPr>
      <t>" and associated +/- buttons will indicate the presence of sensitivity inputs.</t>
    </r>
  </si>
  <si>
    <t xml:space="preserve">   below:</t>
  </si>
  <si>
    <r>
      <t xml:space="preserve">&gt; The input cells for </t>
    </r>
    <r>
      <rPr>
        <b/>
        <sz val="12"/>
        <color theme="1"/>
        <rFont val="Calibri"/>
        <family val="2"/>
        <scheme val="minor"/>
      </rPr>
      <t>future sensitivity analysis</t>
    </r>
    <r>
      <rPr>
        <sz val="12"/>
        <color theme="1"/>
        <rFont val="Calibri"/>
        <family val="2"/>
        <scheme val="minor"/>
      </rPr>
      <t xml:space="preserve"> (evaluating the impact of changes to </t>
    </r>
  </si>
  <si>
    <t>&gt; Once expanded, the base, low, and high scenario input cells are indicated as shown</t>
  </si>
  <si>
    <r>
      <t xml:space="preserve">&gt; Cells with a </t>
    </r>
    <r>
      <rPr>
        <b/>
        <sz val="12"/>
        <color rgb="FF000000"/>
        <rFont val="Calibri"/>
        <family val="2"/>
        <scheme val="minor"/>
      </rPr>
      <t>red outline and question mark</t>
    </r>
    <r>
      <rPr>
        <sz val="12"/>
        <color rgb="FF000000"/>
        <rFont val="Calibri"/>
        <family val="2"/>
        <scheme val="minor"/>
      </rPr>
      <t xml:space="preserve"> contain notes on the input cell to their left.</t>
    </r>
  </si>
  <si>
    <t>Inputs at Reference Design Production Rate</t>
  </si>
  <si>
    <t>Metal Sources</t>
  </si>
  <si>
    <t>Supports</t>
  </si>
  <si>
    <t>Seider 2017</t>
  </si>
  <si>
    <t>Sinnott 2013</t>
  </si>
  <si>
    <t>n / c</t>
  </si>
  <si>
    <t>Agitators</t>
  </si>
  <si>
    <t>Motor hp</t>
  </si>
  <si>
    <t>Includes motor and shaft, direct coupling to motor</t>
  </si>
  <si>
    <t>Includes motor and shaft, direct coupling to motor, pressures to 150 psig</t>
  </si>
  <si>
    <t>Includes motor and shaft, includes speed reducer</t>
  </si>
  <si>
    <t>Includes motor and shaft, includes speed reducer, pressures to 150 psig</t>
  </si>
  <si>
    <t>Autoclave, steel</t>
  </si>
  <si>
    <t>Autoclave, stainless steel</t>
  </si>
  <si>
    <t>Autoclave, glass lined</t>
  </si>
  <si>
    <t>Vessel volume, gal</t>
  </si>
  <si>
    <t>Includes turbine agitator and heat-transfer jacket, pressures to 300 psig</t>
  </si>
  <si>
    <t>Crystallizer, continuous cooling, jacketed scraped wall</t>
  </si>
  <si>
    <t>Length, ft</t>
  </si>
  <si>
    <t>Crystallizer, continuous evaporative, forced circulation</t>
  </si>
  <si>
    <t>Crystallizer, continuous evaporative, draft-tube baffled</t>
  </si>
  <si>
    <t>Crystallizer, batch evaporative</t>
  </si>
  <si>
    <t>Tons crystals / day</t>
  </si>
  <si>
    <t>Volume, ft3</t>
  </si>
  <si>
    <t>Steam turbine (noncondensing)</t>
  </si>
  <si>
    <t>Steam turbine (condensing)</t>
  </si>
  <si>
    <t>Gas turbine</t>
  </si>
  <si>
    <t>Internal combustion engine</t>
  </si>
  <si>
    <t>Shaft power, hp</t>
  </si>
  <si>
    <t>Ulrich 2004</t>
  </si>
  <si>
    <t>Tray area, ft2</t>
  </si>
  <si>
    <t>Drum peripheral area, ft2</t>
  </si>
  <si>
    <t>Heat-transfer area, ft2</t>
  </si>
  <si>
    <t>Evaporation rate, lb/hr</t>
  </si>
  <si>
    <t>Bag filter</t>
  </si>
  <si>
    <t>Cyclone</t>
  </si>
  <si>
    <t>Electrostatic precipitator</t>
  </si>
  <si>
    <t>Venturi scrubber</t>
  </si>
  <si>
    <t>Gas flow rate, actual ft3/min</t>
  </si>
  <si>
    <t>Evaporator, horizontal tube</t>
  </si>
  <si>
    <t>Evaporator, long-tube vertical (rising film)</t>
  </si>
  <si>
    <t>Evaporator, forced circulation</t>
  </si>
  <si>
    <t>Evaporator, falling film</t>
  </si>
  <si>
    <t>Heat transfer area, ft2</t>
  </si>
  <si>
    <t>Heater, reformer</t>
  </si>
  <si>
    <t>Heater, pyrolysis</t>
  </si>
  <si>
    <t>Heater, hot water</t>
  </si>
  <si>
    <t>Heater, molten salt, mineral and silicon oils</t>
  </si>
  <si>
    <t>Heater, Dowtherm A</t>
  </si>
  <si>
    <t>Heat absorbed, Btu/hr</t>
  </si>
  <si>
    <t>Carbon steel, pressure to 10 atm</t>
  </si>
  <si>
    <t>Carbon steel, pressure to 20 atm</t>
  </si>
  <si>
    <t>Dust Collectors</t>
  </si>
  <si>
    <t>Heat exchanger, air-cooled fin-fan</t>
  </si>
  <si>
    <t>Heat exchanger, compact plate and frame</t>
  </si>
  <si>
    <t>Heat exchanger, compact spiral tube</t>
  </si>
  <si>
    <t>Heat exchanger, compact spiral plate</t>
  </si>
  <si>
    <t>Bare-tube heat-transfer area, ft2</t>
  </si>
  <si>
    <t>Rotating-disk contactor</t>
  </si>
  <si>
    <t>S = (Height, ft)*(Diameter, ft)^1.5</t>
  </si>
  <si>
    <t>Stainless steel tubes, carbon steel shell</t>
  </si>
  <si>
    <t>Reverse osmosis, seawater</t>
  </si>
  <si>
    <t>Reverse osmosis, brackish water</t>
  </si>
  <si>
    <t>Gas permeation</t>
  </si>
  <si>
    <t>Pervaporation</t>
  </si>
  <si>
    <t>Non-Electric Drives</t>
  </si>
  <si>
    <t>Liquid-Liquid Extractors</t>
  </si>
  <si>
    <t>Membrane Separations</t>
  </si>
  <si>
    <t>Purified water, gal/day</t>
  </si>
  <si>
    <t>Membrane surface area, ft2</t>
  </si>
  <si>
    <t>Bare-module cost</t>
  </si>
  <si>
    <t>Membrane module</t>
  </si>
  <si>
    <t>Membrane cartridge</t>
  </si>
  <si>
    <t>Ultrafiltration, low cost scenario</t>
  </si>
  <si>
    <t>Ultrafiltration, average cost scenario</t>
  </si>
  <si>
    <t>Ultrafiltration, high cost scenario</t>
  </si>
  <si>
    <t>Kneader, tilting double arm</t>
  </si>
  <si>
    <t>Kneader, sigma double arm</t>
  </si>
  <si>
    <t>Muller mixer</t>
  </si>
  <si>
    <t>Ribbon mixer</t>
  </si>
  <si>
    <t>Tumbler, double cone</t>
  </si>
  <si>
    <t>Tumbler, twin shell</t>
  </si>
  <si>
    <t>Power-Recovery Turbines</t>
  </si>
  <si>
    <t>Gas expander turbine (pressure discharge)</t>
  </si>
  <si>
    <t>Gas expander turbine (vacuum discharge)</t>
  </si>
  <si>
    <t>Liquid expander turbine</t>
  </si>
  <si>
    <t>Power extracted, hp</t>
  </si>
  <si>
    <t>Screens</t>
  </si>
  <si>
    <t>Vibrating grizzlies</t>
  </si>
  <si>
    <t>Vibrating screens, 1 deck</t>
  </si>
  <si>
    <t>Vibrating screens, 2 decks</t>
  </si>
  <si>
    <t>Vibrating screens, 3 decks</t>
  </si>
  <si>
    <t>Surface area, ft2</t>
  </si>
  <si>
    <t>Disk agglomerator</t>
  </si>
  <si>
    <t>Drum agglomerator</t>
  </si>
  <si>
    <t>Pellet mill</t>
  </si>
  <si>
    <t>Pug mill extruder</t>
  </si>
  <si>
    <t>Screw extruder</t>
  </si>
  <si>
    <t>Roll-type press</t>
  </si>
  <si>
    <t>Tableting press</t>
  </si>
  <si>
    <t>Feed rate, lb/hr</t>
  </si>
  <si>
    <t>Gyratory crusher</t>
  </si>
  <si>
    <t>Feed rate, ton/hr</t>
  </si>
  <si>
    <t>Jaw crusher</t>
  </si>
  <si>
    <t>Cone crusher</t>
  </si>
  <si>
    <t>Hammer mill</t>
  </si>
  <si>
    <t>Ball mill</t>
  </si>
  <si>
    <t>Jet mill</t>
  </si>
  <si>
    <t>Thickener, steel</t>
  </si>
  <si>
    <t>Thickener, concrete</t>
  </si>
  <si>
    <t>Clarifier, steel</t>
  </si>
  <si>
    <t>Clarifier, concrete</t>
  </si>
  <si>
    <t>Filter, pressure leaf</t>
  </si>
  <si>
    <t>Filter, rotary-drum vacuum</t>
  </si>
  <si>
    <t>Filter, rotary pan</t>
  </si>
  <si>
    <t>Settling area, ft2</t>
  </si>
  <si>
    <t>Filtering area, ft2</t>
  </si>
  <si>
    <t>Concrete</t>
  </si>
  <si>
    <t>2 - Poly Exp</t>
  </si>
  <si>
    <t>Wet classifier</t>
  </si>
  <si>
    <t>Solids feed rate, lb/hr</t>
  </si>
  <si>
    <t>Hydroclone</t>
  </si>
  <si>
    <t>Liquid feed rate, gal/min</t>
  </si>
  <si>
    <t>Centrifuge, batch top-drive vertical basket</t>
  </si>
  <si>
    <t>Centrifuge, batch bottom-drive vertical basket</t>
  </si>
  <si>
    <t>Centrifuge, vertical auto-batch</t>
  </si>
  <si>
    <t>Centrifuge, horizontal auto-batch</t>
  </si>
  <si>
    <t>Centrifuge, continuous reciprocating pusher</t>
  </si>
  <si>
    <t>Centrifuge, continuous scroll solid bowl</t>
  </si>
  <si>
    <t>Bowl diameter, inches</t>
  </si>
  <si>
    <t>Tons solid / hr</t>
  </si>
  <si>
    <t>Expression</t>
  </si>
  <si>
    <t>Screw press</t>
  </si>
  <si>
    <t>Roll press</t>
  </si>
  <si>
    <t>Wet solids flow rate, lb/hr</t>
  </si>
  <si>
    <t>Bin</t>
  </si>
  <si>
    <t>Feeder, belt</t>
  </si>
  <si>
    <t>Feeder, screw</t>
  </si>
  <si>
    <t>Feeder, vibratory</t>
  </si>
  <si>
    <t>Volumetric flow rate, ft3/hr</t>
  </si>
  <si>
    <t>Carbon steel at atmospheric pressure</t>
  </si>
  <si>
    <t>Includes motor and drive belt</t>
  </si>
  <si>
    <t>Does not include motor or drive</t>
  </si>
  <si>
    <t>12–36 in., up to 100 ft; does not include motor or drive</t>
  </si>
  <si>
    <t>Tank, open</t>
  </si>
  <si>
    <t>Tank, spherical, 0–60 psig</t>
  </si>
  <si>
    <t>Tank, spherical, 30–200 psig</t>
  </si>
  <si>
    <t>Gas holders</t>
  </si>
  <si>
    <t>Volume, gal</t>
  </si>
  <si>
    <t>Fiberglass</t>
  </si>
  <si>
    <t>Carbon steel, pressure up to 3 psig</t>
  </si>
  <si>
    <t>Vacuum Systems</t>
  </si>
  <si>
    <t>Vacuum pump, one-stage jet ejector</t>
  </si>
  <si>
    <t>Vacuum pump, liquid-ring</t>
  </si>
  <si>
    <t>Vacuum pump, three-stage lobe</t>
  </si>
  <si>
    <t>Vacuum pump, three-stage claw</t>
  </si>
  <si>
    <t>Vacuum pump, screw compressor</t>
  </si>
  <si>
    <t>Flow at suction, ft3/min</t>
  </si>
  <si>
    <t>Wastewater treatment, primary</t>
  </si>
  <si>
    <t>Wastewater treatment, primary + secondary</t>
  </si>
  <si>
    <t>Wastewater treatment, primary + secondary + tertiary</t>
  </si>
  <si>
    <t>Wastewater Treatment</t>
  </si>
  <si>
    <t>Wastewater rate, gal/min</t>
  </si>
  <si>
    <t>See Seider 2017 Table 16.31 for multistage units and condensers</t>
  </si>
  <si>
    <t>Stainless steel with sealant recirculation</t>
  </si>
  <si>
    <t>Includes intercoolers</t>
  </si>
  <si>
    <t>With protective controls</t>
  </si>
  <si>
    <t>d</t>
  </si>
  <si>
    <t>e</t>
  </si>
  <si>
    <t>S = (Flow, lb/hr)/(Suction pressure, torr)</t>
  </si>
  <si>
    <t>S = (Flow rate, gal/min)*(Pump head, ft)^0.5</t>
  </si>
  <si>
    <t>Cast iron</t>
  </si>
  <si>
    <t>Ductile iron</t>
  </si>
  <si>
    <t>Bronze</t>
  </si>
  <si>
    <t>Includes drive but not motor; flow rate 50–900 gpm, pump head 50–400 ft, max motor power 75 hp</t>
  </si>
  <si>
    <t>Includes drive but not motor; flow rate 50–3500 gpm, pump head 50–200 ft, max motor power 200 hp</t>
  </si>
  <si>
    <t>Includes drive but not motor; flow rate 100–1500 gpm, pump head 100–450 ft, max motor power 150 hp</t>
  </si>
  <si>
    <t>Includes drive but not motor; flow rate 250–5000 gpm, pump head 50–500 ft, max motor power 250 hp</t>
  </si>
  <si>
    <t>Includes drive but not motor; flow rate 50–1100 gpm, pump head 300–1100 ft, max motor power 250 hp</t>
  </si>
  <si>
    <t>Includes drive but not motor; flow rate 100–1500 gpm, pump head 650–3200 ft, max motor power 1450 hp</t>
  </si>
  <si>
    <t>Open, drip-proof</t>
  </si>
  <si>
    <t>Totally enclosed, fan-cooled</t>
  </si>
  <si>
    <t>Explosion-proof</t>
  </si>
  <si>
    <t>Electric motor, 3600 rpm</t>
  </si>
  <si>
    <t>Electric motor, 1800 rpm</t>
  </si>
  <si>
    <t>Determine electric motor power requirement for pumps using P = (pump brake power)/(motor efficiency), where pump brake power = [(flow rate, gpm)*(pump head, ft)*(fluid density, lb/gal)]/[33,000*(pump efficiency)] and pump efficiency = [-0.316 + 0.24015*ln(flow rate, gpm) – 0.01199*(ln(flow rate, gpm))^2] for 50–5000 gpm and motor efficiency = [0.80 + 0.0319*ln(pump brake power) –0.00182*(ln(pump brake power))^2] for 1–1500 hp pump brake power.</t>
  </si>
  <si>
    <t>Power, hp (see note to calculate for pump)</t>
  </si>
  <si>
    <t>Flow capacity, gal/min</t>
  </si>
  <si>
    <t>Brake horsepower</t>
  </si>
  <si>
    <t>Includes V-belt drive but not motor</t>
  </si>
  <si>
    <t>Includes base plate and driver coupling but not motor</t>
  </si>
  <si>
    <t>Ni-Al-Bronze</t>
  </si>
  <si>
    <t>Fan, centrifugal backward-curved, 5–8 in H2O head</t>
  </si>
  <si>
    <t>Fan, centrifugal backward-curved, 9–15 in H2O head</t>
  </si>
  <si>
    <t>Fan, centrifugal backward-curved, 16–30 in H2O head</t>
  </si>
  <si>
    <t>Fan, centrifugal backward-curved, 31–40 in H2O head</t>
  </si>
  <si>
    <t>Fan, centrifugal straight-radial, 5–8 in H2O head</t>
  </si>
  <si>
    <t>Fan, centrifugal straight-radial, 9–15 in H2O head</t>
  </si>
  <si>
    <t>Fan, centrifugal straight-radial, 16–30 in H2O head</t>
  </si>
  <si>
    <t>Fan, vane-axial, 5–8 in H2O head</t>
  </si>
  <si>
    <t>Fan, vane-axial, 9–15 in H2O head</t>
  </si>
  <si>
    <t>Fan, centrifugal backward-curved, 0–4 in H2O head</t>
  </si>
  <si>
    <t>Fan, centrifugal straight-radial, 0–4 in H2O head</t>
  </si>
  <si>
    <t>Fan, vane-axial, 0–4 in H2O head</t>
  </si>
  <si>
    <t>Fan, propeller, 0–1 in H2O head</t>
  </si>
  <si>
    <t>Includes drive and electric motor; a "fan" applies to near-ambient suction pressures and less than 10% pressure increases</t>
  </si>
  <si>
    <t>Includes drive and electric motor; a "blower" may operate at any suction pressure and applies to compression ratios of up to 2</t>
  </si>
  <si>
    <t>Blower, centrifugal (turbo)</t>
  </si>
  <si>
    <t>Blower, rotary straight-lobe</t>
  </si>
  <si>
    <t>Actual cubic feet per minute (ACFM)</t>
  </si>
  <si>
    <t>S = (Width, in.)*(Length, ft)</t>
  </si>
  <si>
    <t>S = (Bucket width, in.)*(Height, ft)^1.14</t>
  </si>
  <si>
    <t>S = (Width, in.)*(Length, ft)^1.526</t>
  </si>
  <si>
    <t>S = (Diameter, in.)*(Length, ft)^0.59</t>
  </si>
  <si>
    <t>Conveyor, belt (see note)</t>
  </si>
  <si>
    <t>Conveyor, screw (see note)</t>
  </si>
  <si>
    <t>Conveyor, vibratory (see note)</t>
  </si>
  <si>
    <t>Bucket elevator (see note)</t>
  </si>
  <si>
    <t>Pneumatic conveyor (see note)</t>
  </si>
  <si>
    <t>S = (Solids flow rate, lb/s)*(Length, ft)^0.317</t>
  </si>
  <si>
    <t>Pump, centrifugal, 1 stage, 3600 rpm, VSC</t>
  </si>
  <si>
    <t>Pump, centrifugal, 1 stage, 1800 rpm, VSC</t>
  </si>
  <si>
    <t>Pump, centrifugal, 1 stage, 3600 rpm, HSC</t>
  </si>
  <si>
    <t>Pump, centrifugal, 1 stage, 1800 rpm, HSC</t>
  </si>
  <si>
    <t>Pump, centrifugal, 2 stage, 3600 rpm, HSC</t>
  </si>
  <si>
    <t>Pump, centrifugal, 2+ stage, 1800 rpm, HSC</t>
  </si>
  <si>
    <t>Pump, external gear</t>
  </si>
  <si>
    <t>Pump, reciprocating plunger</t>
  </si>
  <si>
    <t>Consumed power, hp</t>
  </si>
  <si>
    <t>Includes drive and electric motor</t>
  </si>
  <si>
    <t>Includes drive and electric motor; cast iron housing; a "blower" may operate at any suction pressure and applies to compression ratios of up to 2</t>
  </si>
  <si>
    <t>Includes drive and steam turbine</t>
  </si>
  <si>
    <t>Includes drive and gas turbine</t>
  </si>
  <si>
    <t>Compressor, reciprocating, electric motor (preferred)</t>
  </si>
  <si>
    <t>Compressor, reciprocating, steam turbine</t>
  </si>
  <si>
    <t>Compressor, reciprocating, gas turbine</t>
  </si>
  <si>
    <t>Compressor, centrifugal, electric motor (preferred)</t>
  </si>
  <si>
    <t>Compressor, centrifugal, steam turbine</t>
  </si>
  <si>
    <t>Compressor, centrifugal, gas turbine</t>
  </si>
  <si>
    <t>Compressor, rotary twin-screw, electric motor (preferred)</t>
  </si>
  <si>
    <t>Compressor, rotary twin-screw, steam turbine</t>
  </si>
  <si>
    <t>Compressor, rotary twin-screw, gas turbine</t>
  </si>
  <si>
    <t>Heater, general purpose (box furnace)</t>
  </si>
  <si>
    <t>Heat duty, Btu/hr</t>
  </si>
  <si>
    <t>Gas or fuel oil; up to 500 psig, for 500–3000 psig multiply purchase price by pressure factor = [0.986 – 0.0035*(P, psig) + 0.0175*(P, psig)^2]</t>
  </si>
  <si>
    <t>All data and index descriptions (comments) comes from Seider, Seader, and Lewin (2017) through 2013 and from Chem Eng thereafter</t>
  </si>
  <si>
    <t>Carbon steel tubes</t>
  </si>
  <si>
    <t>Cr-Mo tubes</t>
  </si>
  <si>
    <t>Stainless steel tubes</t>
  </si>
  <si>
    <t>Pressure vessel, horizontal (requires platforms)</t>
  </si>
  <si>
    <t>Pressure vessel, vertical (requires platforms)</t>
  </si>
  <si>
    <t>Platforms and ladders for horizontal pressure vessel</t>
  </si>
  <si>
    <t>Platforms and ladders for vertical pressure vessel</t>
  </si>
  <si>
    <t>Vessel ID, ft</t>
  </si>
  <si>
    <t>Weight of shell and two heads, lb</t>
  </si>
  <si>
    <t>Platforms and ladders for vertical tower</t>
  </si>
  <si>
    <t>Vertical tower (requires platforms)</t>
  </si>
  <si>
    <t>S = (Vessel ID, ft)^0.7396*(Length, ft)^0.70684</t>
  </si>
  <si>
    <t>S = (Vessel ID, ft)^0.63316*(Length, ft)^0.80161</t>
  </si>
  <si>
    <t>Refers to a largely empty vessel; includes nozzles, manholes, and supports; estimate weight of shell and two 2:1 elliptical heads = [pi*((inner diameter, inches) + (shell thickness, inches))*((tangent to tangent length / length of cylindrical section, inches) + 0.8*(inner diameter, inches))*(shell thickness, inches)*(0.284 lb/in^3 {steel density})]</t>
  </si>
  <si>
    <t>Refers to a vessel designed for plates and/or packing; includes nozzles, manholes, a skirt, and internals for multiple feed locations and management of bottoms but not plates or packing; estimate weight of shell and two 2:1 elliptical heads = [pi*((inner diameter, inches) + (shell thickness, inches))*((tangent to tangent length / length of cylindrical section, inches) + 0.8*(inner diameter, inches))*(shell thickness, inches)*(0.284 lb/in^3 {steel density})]</t>
  </si>
  <si>
    <t>Low-alloy steel</t>
  </si>
  <si>
    <t>Stainless 304</t>
  </si>
  <si>
    <t>Stainless 316</t>
  </si>
  <si>
    <t>Carpenter 20CB-3</t>
  </si>
  <si>
    <t>Nickel-200</t>
  </si>
  <si>
    <t>Monel-400</t>
  </si>
  <si>
    <t>Inconel-600</t>
  </si>
  <si>
    <t>Incoloy-825</t>
  </si>
  <si>
    <t>Use vessel inner diameter (ID), 3–21 ft, and tangent-to-tangent length (the length of the cylindrical section of the vessel), 12–40 ft</t>
  </si>
  <si>
    <t>Use vessel inner diameter (ID), 3–12 ft</t>
  </si>
  <si>
    <t>Use vessel inner diameter (ID), 3–24 ft and tangent-to-tangent length (the length of the cylindrical section of the vessel), 27–170 ft</t>
  </si>
  <si>
    <t>Material 10</t>
  </si>
  <si>
    <t>Factor 10</t>
  </si>
  <si>
    <t>Titanium clad</t>
  </si>
  <si>
    <t>SS tubes, CS shell</t>
  </si>
  <si>
    <t>Dust particles 0.1–50 microns in size</t>
  </si>
  <si>
    <t>Dust particles 10–1000 microns in size</t>
  </si>
  <si>
    <t>Dust particles 0.01–10 microns in size</t>
  </si>
  <si>
    <t>Dust particles 0.1–100 microns in size</t>
  </si>
  <si>
    <t>Includes motor and drive; feed size 200–2000 mm; product size 25–250 mm; size reduction ratio 8; power 135–940 hp</t>
  </si>
  <si>
    <t>Includes motor and drive; feed size 100–1000 mm; product size 25–100 mm; size reduction ratio 8; power 7–270 hp</t>
  </si>
  <si>
    <t>Includes motor and drive; feed size 50–300 mm; product size 5–50 mm; size reduction ratio 8; power 27–335 hp</t>
  </si>
  <si>
    <t>Includes motor and drive; feed size 5–30 mm; product size 0.01–0.1 mm; size reduction ratio 400; power 1.3–135 hp</t>
  </si>
  <si>
    <t>Includes motor and drive; feed size 1–10 mm; product size 0.01–0.1 mm; size reduction ratio 100; power 65–6700 hp</t>
  </si>
  <si>
    <t>Includes motor and drive; feed size 1–10 mm; product size 0.003–0.05 mm; size reduction ratio 300; power 2.7–135 hp</t>
  </si>
  <si>
    <t>14–60 in., up to 300 ft; does not include motor or drive; power required = 0.00058*(length, ft)*(solids flow rate, lb/s)^0.82</t>
  </si>
  <si>
    <t>6–20 in., up to 300 ft; does not include motor, drive, lid, or jacket; power required = 0.0146*(length, ft)*(solids flow rate, lb/s)^0.85</t>
  </si>
  <si>
    <t>6–20 in., 15–150 ft; does not include motor or drive; power required = 0.02*(solids flow rate, lb/s)*(length, ft)^0.63</t>
  </si>
  <si>
    <t>3–30 lb/s, 30–600 ft; includes blower, motor, piping, rotary valve, and cyclone; power required = 10*(solids flow rate, lb/s)^0.95</t>
  </si>
  <si>
    <t>use compressor?</t>
  </si>
  <si>
    <t>Crystallizers (Sinnott)</t>
  </si>
  <si>
    <t>Crystallizers (Seider)</t>
  </si>
  <si>
    <t>Evaporators (Seider)</t>
  </si>
  <si>
    <t>Evaporators (other sources)</t>
  </si>
  <si>
    <t>Furnaces (Sinnott)</t>
  </si>
  <si>
    <t>Heat exchanger, floating head shell and tube</t>
  </si>
  <si>
    <t>Heat exchanger, double pipe</t>
  </si>
  <si>
    <t>Heat exchanger, thermosiphon reboiler</t>
  </si>
  <si>
    <t>Heat exchanger, U-tube kettle reboiler</t>
  </si>
  <si>
    <t>Heat exchanger, U-tube shell and tube</t>
  </si>
  <si>
    <t>Heat exchanger, plate and frame</t>
  </si>
  <si>
    <t>Heat Exchangers (Sinnott)</t>
  </si>
  <si>
    <t>Mixers (Sinnott)</t>
  </si>
  <si>
    <t>Pumps and Compressors (Sinnott)</t>
  </si>
  <si>
    <t>Pressure Vessels (Sinnott)</t>
  </si>
  <si>
    <t>Pumps, Motors, Fans, Blowers, Compressors (Seider)</t>
  </si>
  <si>
    <t>Size Enlargement (Seider)</t>
  </si>
  <si>
    <t>Size Reduction (Seider)</t>
  </si>
  <si>
    <t>Solid-Liquid Separators (other sources)</t>
  </si>
  <si>
    <t>Solids Handling (Seider)</t>
  </si>
  <si>
    <t>Solids Handling (Sinnott)</t>
  </si>
  <si>
    <t>Propeller for open tank</t>
  </si>
  <si>
    <t>Propeller for closed vessel</t>
  </si>
  <si>
    <t>Turbine for open tank</t>
  </si>
  <si>
    <t>Turbine for closed vessel</t>
  </si>
  <si>
    <t>Glass-lined steel</t>
  </si>
  <si>
    <t>Dryer, batch tray (Seider)</t>
  </si>
  <si>
    <t>Dryer, direct-heat rotary (Seider)</t>
  </si>
  <si>
    <t>Dryer, indirect-heat steam-tube rotary (Seider)</t>
  </si>
  <si>
    <t>Dryer, drum (Seider)</t>
  </si>
  <si>
    <t>Dryer, spray (Seider)</t>
  </si>
  <si>
    <t>Dryer, spray (Sinnott)</t>
  </si>
  <si>
    <t>Dryer, direct contact rotary, direct heated (Sinnott)</t>
  </si>
  <si>
    <t>Dryer, atmospheric tray batch (Sinnott)</t>
  </si>
  <si>
    <t>Tank, floating roof (Sinnott)</t>
  </si>
  <si>
    <t>Tank, cone roof (Sinnott)</t>
  </si>
  <si>
    <t>Tank, cone roof (Seider)</t>
  </si>
  <si>
    <t>Tank, floating roof (Seider)</t>
  </si>
  <si>
    <t>Filter, plate and frame (Sinnott)</t>
  </si>
  <si>
    <t>Filter, plate and frame (Seider)</t>
  </si>
  <si>
    <t>Solid-Liquid Separators (Seider)</t>
  </si>
  <si>
    <t>Pressure Vessels (Seider)</t>
  </si>
  <si>
    <t>Reactors (also see autoclaves)</t>
  </si>
  <si>
    <t>Autoclaves (also see reactors)</t>
  </si>
  <si>
    <t>Drives Other than Electric Motors</t>
  </si>
  <si>
    <t>Heat Exchangers (Seider)</t>
  </si>
  <si>
    <t>Mixers for Powders, Pastes, Polymers, Doughs (Seider)</t>
  </si>
  <si>
    <t>END</t>
  </si>
  <si>
    <t>Category (not in use)</t>
  </si>
  <si>
    <t>Note: equipment list MUST end with "END" in column B, ideally after one blank line</t>
  </si>
  <si>
    <t>Flares</t>
  </si>
  <si>
    <t>Flare, ground mounted</t>
  </si>
  <si>
    <t>Waste gas flow rate, lb/hr</t>
  </si>
  <si>
    <t>Flare, elevated (40 ft)</t>
  </si>
  <si>
    <t>Garrett 1989</t>
  </si>
  <si>
    <t>Standard</t>
  </si>
  <si>
    <t>Below 60 Btu/ft3</t>
  </si>
  <si>
    <t>Above 1000 Btu/ft3</t>
  </si>
  <si>
    <t>Corrosive</t>
  </si>
  <si>
    <t>Standard cost for 60–1000 Btu/ft3, non-corrosive. Use material factors for other scenarios.</t>
  </si>
  <si>
    <t>Filter, vacuum drum (Sinnott)</t>
  </si>
  <si>
    <t>Vacuum drum filter, single compartment (Ulrich)</t>
  </si>
  <si>
    <t>Belt filter (Ulrich)</t>
  </si>
  <si>
    <t>Size Reduction (Sinnott)</t>
  </si>
  <si>
    <t>Steam boiler (Seider)</t>
  </si>
  <si>
    <t>Boiler, packaged, 14 to 40 bar (Sinnott)</t>
  </si>
  <si>
    <t>Boiler, field erected, 10 to 70 bar (Sinnott)</t>
  </si>
  <si>
    <t>Fired Heaters / Furnaces (Seider)</t>
  </si>
  <si>
    <t>Nanoparticle Flow Synthesis</t>
  </si>
  <si>
    <t>One-way valve</t>
  </si>
  <si>
    <t>Needle valve</t>
  </si>
  <si>
    <t>Pressure regulator 40 psi.</t>
  </si>
  <si>
    <t>Pressure regulator 75 psi.</t>
  </si>
  <si>
    <t>Metal luer lock adaptor</t>
  </si>
  <si>
    <t>Temperature controller 1</t>
  </si>
  <si>
    <t>Temperature controller 2</t>
  </si>
  <si>
    <t>Type J/K thermocouple</t>
  </si>
  <si>
    <t>Type J/K connecting cable</t>
  </si>
  <si>
    <t>Heating mantle 1</t>
  </si>
  <si>
    <t>Heating mantle 2</t>
  </si>
  <si>
    <t>Sand</t>
  </si>
  <si>
    <t>Glass reactor tube</t>
  </si>
  <si>
    <t>Malmstadt</t>
  </si>
  <si>
    <t>each</t>
  </si>
  <si>
    <t>Peristaltic pump</t>
  </si>
  <si>
    <t>Serves 16 channels</t>
  </si>
  <si>
    <t>Millifluidic mixer</t>
  </si>
  <si>
    <t>Millifluidic droplet forming mixer</t>
  </si>
  <si>
    <t>BM Factor (not in use)</t>
  </si>
  <si>
    <t>Metal to recover</t>
  </si>
  <si>
    <t>Metal wt. % of AP</t>
  </si>
  <si>
    <t>Catalyst bulk density</t>
  </si>
  <si>
    <t>Recoverable metal</t>
  </si>
  <si>
    <t>Recoverable metal value</t>
  </si>
  <si>
    <t>Incoming fee</t>
  </si>
  <si>
    <t>Thermal oxidation fee</t>
  </si>
  <si>
    <t>Refining fee</t>
  </si>
  <si>
    <t>Metal contaminant fee (Sn, Cu, Fe)</t>
  </si>
  <si>
    <t>Landfill Fees and Sale Value</t>
  </si>
  <si>
    <t>Landfill cost</t>
  </si>
  <si>
    <t>Sale value, if any</t>
  </si>
  <si>
    <t>Metal losses during use (typical)</t>
  </si>
  <si>
    <t>Metal losses during refining (typical)</t>
  </si>
  <si>
    <t>Table 1 - Support-specific data</t>
  </si>
  <si>
    <t>Thermal ox. fee, low, $/lb</t>
  </si>
  <si>
    <t>Thermal ox. fee, high, $/lb</t>
  </si>
  <si>
    <t>Thermal ox. fee, ave, $/lb</t>
  </si>
  <si>
    <t>Incoming fee, low, $/ft3</t>
  </si>
  <si>
    <t>Incoming fee, high, $/ft3</t>
  </si>
  <si>
    <t>Incoming fee, ave, $/ft3</t>
  </si>
  <si>
    <t>Metal contaminant fee, low, $/ft3</t>
  </si>
  <si>
    <t>Metal contaminant fee, high, $/ft3</t>
  </si>
  <si>
    <t>Metal contaminant fee, ave, $/ft3</t>
  </si>
  <si>
    <t>Al2O3</t>
  </si>
  <si>
    <t>Carbon</t>
  </si>
  <si>
    <t>Carbonate</t>
  </si>
  <si>
    <t>SiO2</t>
  </si>
  <si>
    <t>Sponge of metal (no support)</t>
  </si>
  <si>
    <t>TiO2</t>
  </si>
  <si>
    <t>ZrO2</t>
  </si>
  <si>
    <t>Table 2 - Metal-specific data</t>
  </si>
  <si>
    <t>Refining charge, $/troy oz recovered</t>
  </si>
  <si>
    <t>Claus, misc</t>
  </si>
  <si>
    <t>CuZn</t>
  </si>
  <si>
    <t>NiW</t>
  </si>
  <si>
    <t>Table 3 - Landfill Fees and Sale Values</t>
  </si>
  <si>
    <t>Catalyst Hazard Class</t>
  </si>
  <si>
    <t>Landfill fee, low, $/lb</t>
  </si>
  <si>
    <t>Landfill fee, high, $/lb</t>
  </si>
  <si>
    <t>Landfill fee, ave, $/lb</t>
  </si>
  <si>
    <t>Sale value, low, $/lb</t>
  </si>
  <si>
    <t>Sale value, high, $/lb</t>
  </si>
  <si>
    <t>Sale value, ave, $/lb</t>
  </si>
  <si>
    <t>Zeolite, Silica, Alumina</t>
  </si>
  <si>
    <t>e.g. for cement</t>
  </si>
  <si>
    <t>Ni/Mo, Co/Mo, Ni/W</t>
  </si>
  <si>
    <t>PGM/Noble metal</t>
  </si>
  <si>
    <t>e.g. to smelter or refiner, typically &lt;0.2% PGM</t>
  </si>
  <si>
    <t>Hazardous (e.g. RCRA metals)</t>
  </si>
  <si>
    <t>Table 4 - Catalyst Bulk Densities (or specified by user)</t>
  </si>
  <si>
    <t>Catalyst</t>
  </si>
  <si>
    <t>ρ (lb/ft3)</t>
  </si>
  <si>
    <t>Activated C powder</t>
  </si>
  <si>
    <t>Activated C granules</t>
  </si>
  <si>
    <t>Metal on Al2O3</t>
  </si>
  <si>
    <t>dry extrudate</t>
  </si>
  <si>
    <t>Metal on TiO2</t>
  </si>
  <si>
    <t>Metal on ZrO2</t>
  </si>
  <si>
    <t>Al2O3/SiO2, 44%/51%</t>
  </si>
  <si>
    <t>SiO2, 3/16"</t>
  </si>
  <si>
    <t>dry spheres</t>
  </si>
  <si>
    <t>Sponge Ni, Co, or Cu</t>
  </si>
  <si>
    <t>TCLP Limit, mg/L</t>
  </si>
  <si>
    <t>As</t>
  </si>
  <si>
    <t>Ba</t>
  </si>
  <si>
    <t>Cd</t>
  </si>
  <si>
    <t>Cr</t>
  </si>
  <si>
    <t>Pb</t>
  </si>
  <si>
    <t>Hg</t>
  </si>
  <si>
    <t>Se</t>
  </si>
  <si>
    <t>Ag</t>
  </si>
  <si>
    <t>containing 50% moisture</t>
  </si>
  <si>
    <t>dry basis; average of 67.5-75 lb/ft3</t>
  </si>
  <si>
    <t>Bulk Density Lookup Tool</t>
  </si>
  <si>
    <t>lb/ft3</t>
  </si>
  <si>
    <t>Catalyst/material type</t>
  </si>
  <si>
    <t>Typical bulk density (SI)</t>
  </si>
  <si>
    <t>Typical bulk density (US)</t>
  </si>
  <si>
    <t>Has trace Sn, Cu, Fe &gt; 2% of AP?</t>
  </si>
  <si>
    <t>ρ (kg/m3)</t>
  </si>
  <si>
    <t>cubic meter</t>
  </si>
  <si>
    <t>dry pellet/extrudate</t>
  </si>
  <si>
    <t>SiO2, high surface area 160 m2/g</t>
  </si>
  <si>
    <t>SiO2, high surface area 250 m2/g</t>
  </si>
  <si>
    <t>TiO2, anatase, high surface area</t>
  </si>
  <si>
    <t>150 m2/g, dry pellet/extrudate</t>
  </si>
  <si>
    <t>kg/m3</t>
  </si>
  <si>
    <t>PGM/Noble (Refining charge yes/no)</t>
  </si>
  <si>
    <t>Recoverable metal, troy ounces</t>
  </si>
  <si>
    <t>On-Stream Factor</t>
  </si>
  <si>
    <t>Processing Cost Estimation Inputs</t>
  </si>
  <si>
    <t>Order size (1-1000 tons)</t>
  </si>
  <si>
    <t>Equipment size</t>
  </si>
  <si>
    <t>Synthesis time</t>
  </si>
  <si>
    <t>Cleaning time</t>
  </si>
  <si>
    <t>Selling Margin</t>
  </si>
  <si>
    <t>Calculate using (select):</t>
  </si>
  <si>
    <t>%/yr</t>
  </si>
  <si>
    <t>Flat margin (% of costs)</t>
  </si>
  <si>
    <t xml:space="preserve"> &lt; select mass unit</t>
  </si>
  <si>
    <t xml:space="preserve"> &lt; select time unit</t>
  </si>
  <si>
    <t xml:space="preserve"> &lt; select catalyst or AP</t>
  </si>
  <si>
    <t>catalyst</t>
  </si>
  <si>
    <t>Incipient wetness (impregnation)</t>
  </si>
  <si>
    <t>Crystallizer</t>
  </si>
  <si>
    <t>Flare</t>
  </si>
  <si>
    <t>Filter, rotary vacuum</t>
  </si>
  <si>
    <t>Filter, belt vacuum</t>
  </si>
  <si>
    <t>Filter, plate and frame</t>
  </si>
  <si>
    <t>Mill</t>
  </si>
  <si>
    <t>Dryer, batch vacuum tray</t>
  </si>
  <si>
    <t>Reactor, simple (mixing)</t>
  </si>
  <si>
    <t>Reactor, multistep</t>
  </si>
  <si>
    <t>Dryer, spray</t>
  </si>
  <si>
    <t>Small (1 ton/day)</t>
  </si>
  <si>
    <t>Medium (10 ton/day)</t>
  </si>
  <si>
    <t>Large (150 ton/day)</t>
  </si>
  <si>
    <t>Step Name</t>
  </si>
  <si>
    <t>Step Library - Costs in $/hr at three different scales</t>
  </si>
  <si>
    <t>Scrubber, NOx</t>
  </si>
  <si>
    <t>Mixer, dry blender</t>
  </si>
  <si>
    <t>Ball forming unit</t>
  </si>
  <si>
    <t>Muller</t>
  </si>
  <si>
    <t>Mixer, slurry</t>
  </si>
  <si>
    <t>Extruder, with feeder</t>
  </si>
  <si>
    <t>Bonnot</t>
  </si>
  <si>
    <t>Kiln, continuous indirect (300–1290 °C)</t>
  </si>
  <si>
    <t>Kiln, continuous direct (300–1290 °C)</t>
  </si>
  <si>
    <t>Kiln, batch (300–1290 °C)</t>
  </si>
  <si>
    <t>For higher temp use kiln</t>
  </si>
  <si>
    <t>Substitute with plate and frame at small scale</t>
  </si>
  <si>
    <t>Substitute with belt or rotary vacuum at M/L scale</t>
  </si>
  <si>
    <t>Substitute with rotary dryer at small scale</t>
  </si>
  <si>
    <t>Cost ($/hr)</t>
  </si>
  <si>
    <t>Cost ($/campaign)</t>
  </si>
  <si>
    <t>Synthesis campaign length</t>
  </si>
  <si>
    <t>days</t>
  </si>
  <si>
    <t>Order size in model units</t>
  </si>
  <si>
    <t>Order size in tons</t>
  </si>
  <si>
    <t>A.k.a. calciner. Sub with continuous kiln at M/L scale</t>
  </si>
  <si>
    <t>A.k.a. calciner. Sub with batch kiln at small scale</t>
  </si>
  <si>
    <t>Totals:</t>
  </si>
  <si>
    <t>mL*kPa/(K*mol)</t>
  </si>
  <si>
    <t>F-101</t>
  </si>
  <si>
    <t>F-102</t>
  </si>
  <si>
    <t>H-101</t>
  </si>
  <si>
    <t>C-101</t>
  </si>
  <si>
    <t>C-102</t>
  </si>
  <si>
    <t>S-103</t>
  </si>
  <si>
    <t>hour</t>
  </si>
  <si>
    <t>CapEx &amp; OpEx Factors Output Parameters</t>
  </si>
  <si>
    <t>General Output Parameters</t>
  </si>
  <si>
    <t>Campaign cost</t>
  </si>
  <si>
    <t>Selling Margin (Materials)</t>
  </si>
  <si>
    <t>Processing Steps</t>
  </si>
  <si>
    <t>Basis Year</t>
  </si>
  <si>
    <r>
      <t xml:space="preserve">&gt; These sheets are </t>
    </r>
    <r>
      <rPr>
        <b/>
        <sz val="12"/>
        <color rgb="FF000000"/>
        <rFont val="Calibri"/>
        <family val="2"/>
        <scheme val="minor"/>
      </rPr>
      <t>numbered 1-5</t>
    </r>
    <r>
      <rPr>
        <sz val="12"/>
        <color rgb="FF000000"/>
        <rFont val="Calibri"/>
        <family val="2"/>
        <scheme val="minor"/>
      </rPr>
      <t xml:space="preserve"> and can be </t>
    </r>
    <r>
      <rPr>
        <b/>
        <sz val="12"/>
        <color rgb="FF000000"/>
        <rFont val="Calibri"/>
        <family val="2"/>
        <scheme val="minor"/>
      </rPr>
      <t>navigated using the tabs</t>
    </r>
    <r>
      <rPr>
        <sz val="12"/>
        <color rgb="FF000000"/>
        <rFont val="Calibri"/>
        <family val="2"/>
        <scheme val="minor"/>
      </rPr>
      <t xml:space="preserve"> at the bottom of the screen.</t>
    </r>
  </si>
  <si>
    <t>Required blank input</t>
  </si>
  <si>
    <t>Optional blank input</t>
  </si>
  <si>
    <t>Spent Catalyst Value (SCV)</t>
  </si>
  <si>
    <t>Total Catalyst Cost, Including SCV</t>
  </si>
  <si>
    <t>[Raw Materials excluding PGM]</t>
  </si>
  <si>
    <t>Price Scaled to Basis Year</t>
  </si>
  <si>
    <t>% of op. costs excluding PGM/noble metals content</t>
  </si>
  <si>
    <t>Estimated Concentration in Catalyst, wt%</t>
  </si>
  <si>
    <t>Size Enlarg. &amp; Extrusion (Seider)</t>
  </si>
  <si>
    <t>Pumps, Motors, Fans (Seider)</t>
  </si>
  <si>
    <t>Mixers (Seider)</t>
  </si>
  <si>
    <t>Loss during refining, low, %</t>
  </si>
  <si>
    <t>Loss during refining, high, %</t>
  </si>
  <si>
    <t>Loss during refining, ave, %</t>
  </si>
  <si>
    <t>This sheet contains information for calculating the value of a spent catalyst that has reached the end of its useful life. Information on hydrometallurgical metals reclamation and recycling as well as landfill disposal, etc. is included.</t>
  </si>
  <si>
    <r>
      <t>Table 5 - RCRA metals and Toxicity Characteristic Leaching Prodedure Limits.</t>
    </r>
    <r>
      <rPr>
        <sz val="12"/>
        <color theme="1"/>
        <rFont val="Calibri (Body)_x0000_"/>
      </rPr>
      <t xml:space="preserve"> Estimated minimum concentrations of RCRA metals as wt. % in catalyst that would pass the TCLP threshold are provided; no warranty is given as to the accuracy or usefulness of these estimates.</t>
    </r>
  </si>
  <si>
    <t>Spent Catalyst Value</t>
  </si>
  <si>
    <t>cwt</t>
  </si>
  <si>
    <t>centumweight</t>
  </si>
  <si>
    <t>100 lb</t>
  </si>
  <si>
    <t>Selected Process Template</t>
  </si>
  <si>
    <t>Note: ordinarily this is set by the entry on 3b Equip but can be overridden</t>
  </si>
  <si>
    <t>Process Utilities Consumption and Cost for Selected Template</t>
  </si>
  <si>
    <t>Utilities Process Templates</t>
  </si>
  <si>
    <t>Zeolite for FCC</t>
  </si>
  <si>
    <t>Metal Carbide on Metal Oxide</t>
  </si>
  <si>
    <t>Equipment Cost Totals for Selected Template</t>
  </si>
  <si>
    <t>Labor Factor (# of operators)</t>
  </si>
  <si>
    <t>Custom Process</t>
  </si>
  <si>
    <t>Select a Process Template or Choose "Custom Process"</t>
  </si>
  <si>
    <t>Notes for Selected Process Equipment</t>
  </si>
  <si>
    <t>Nanoparticles - Flow Synthesis</t>
  </si>
  <si>
    <t>Wet Impregnation - Metal on Metal Oxide</t>
  </si>
  <si>
    <t>H-102</t>
  </si>
  <si>
    <t>C-103</t>
  </si>
  <si>
    <t>C-104</t>
  </si>
  <si>
    <t>U-102</t>
  </si>
  <si>
    <t>U-103</t>
  </si>
  <si>
    <t>Three neck round bottom flask, 100 mL, Sigma Aldrich</t>
  </si>
  <si>
    <t>Glass</t>
  </si>
  <si>
    <t>Centrifuge (lab)</t>
  </si>
  <si>
    <t>Nanoparticle Batch Synthesis</t>
  </si>
  <si>
    <t>Nano Batch Synthesis</t>
  </si>
  <si>
    <t>Sigma (2017)</t>
  </si>
  <si>
    <t>active phase</t>
  </si>
  <si>
    <t>Show/Hide Individual Process Templates Using +/- at left (Show all using "2" at top left, hide all using "1" at top left)</t>
  </si>
  <si>
    <t>Unit Cost in Cents or Dollars (USD, $)</t>
  </si>
  <si>
    <t>Catalyst Attrition During Use</t>
  </si>
  <si>
    <t>Value of Metal Content</t>
  </si>
  <si>
    <t>Costs of Recovery</t>
  </si>
  <si>
    <t>Metals Losses</t>
  </si>
  <si>
    <t>Support Losses</t>
  </si>
  <si>
    <t>Support losses during use (typical)</t>
  </si>
  <si>
    <t>Total Catalyst Solids</t>
  </si>
  <si>
    <t>Metals Recovery Value and Fees</t>
  </si>
  <si>
    <t>Support mass after use</t>
  </si>
  <si>
    <t>Fixed bed: Loss of support in use, low, %</t>
  </si>
  <si>
    <t>Fixed bed: Loss of support in use, high, %</t>
  </si>
  <si>
    <t>Fixed bed: Loss of support in use, ave, %</t>
  </si>
  <si>
    <t>Fixed bed: Loss of metal in use, low, %</t>
  </si>
  <si>
    <t>Fixed bed: Loss of metal in use, high, %</t>
  </si>
  <si>
    <t>Slurry/fluidized bed: Loss of support in use, low, %</t>
  </si>
  <si>
    <t>Slurry/fluidized bed: Loss of support in use, high, %</t>
  </si>
  <si>
    <t>Slurry/fluidized bed: Loss of support in use, ave, %</t>
  </si>
  <si>
    <t>Fixed bed: Loss of metal in use, ave, %</t>
  </si>
  <si>
    <t>Slurry/fluidized bed: Loss of metal in use, low, %</t>
  </si>
  <si>
    <t>Slurry/fluidized bed: Loss of metal in use, high, %</t>
  </si>
  <si>
    <t>Slurry/fluidized bed: Loss of metal in use, ave, %</t>
  </si>
  <si>
    <t>Planned reactor configuration</t>
  </si>
  <si>
    <t>n/a</t>
  </si>
  <si>
    <t>Metal mass in fresh catalyst</t>
  </si>
  <si>
    <t>Support mass in fresh catalyst</t>
  </si>
  <si>
    <t>Metal mass after use</t>
  </si>
  <si>
    <t>Catalyst mass after use</t>
  </si>
  <si>
    <t>Catalyst volume after use</t>
  </si>
  <si>
    <t>Total recovery fees</t>
  </si>
  <si>
    <t>Total Spent Catalyst Value/(Cost)</t>
  </si>
  <si>
    <t>Step Method Procedures: Custom Process and Process Templates</t>
  </si>
  <si>
    <t>Step Method Template Name</t>
  </si>
  <si>
    <t>CapEx &amp; OpEx Factors: Equipment Costs</t>
  </si>
  <si>
    <t>CapEx &amp; OpEx Factors Equipment Lists: Custom Process and Process Templates</t>
  </si>
  <si>
    <t>CapEx &amp; OpEx Factors Template Name</t>
  </si>
  <si>
    <t>CapEx &amp; OpEx Factors: Utilities Costs</t>
  </si>
  <si>
    <t>CapEx &amp; OpEx Factors: Factored Capital Expenditures</t>
  </si>
  <si>
    <t>CapEx &amp; OpEx Factors: Factored Operating Expenditures</t>
  </si>
  <si>
    <t>Metal Carbide (Bulk)</t>
  </si>
  <si>
    <t>Step Method: Inputs and Total Processing Costs</t>
  </si>
  <si>
    <t>Custom Step Process</t>
  </si>
  <si>
    <t>Select a Process Template or Choose "Custom Step Process"</t>
  </si>
  <si>
    <t>Step Method Costs for Selected Process Template</t>
  </si>
  <si>
    <t>/hr</t>
  </si>
  <si>
    <t>/campaign</t>
  </si>
  <si>
    <t>Spot price escalated to basis year</t>
  </si>
  <si>
    <t>Notes for Template</t>
  </si>
  <si>
    <t>Based on Mo2C at 200-ton scale.</t>
  </si>
  <si>
    <t>m</t>
  </si>
  <si>
    <r>
      <t xml:space="preserve">Note that </t>
    </r>
    <r>
      <rPr>
        <sz val="12"/>
        <color theme="8" tint="-0.249977111117893"/>
        <rFont val="Calibri (Body)_x0000_"/>
      </rPr>
      <t>substitute steps</t>
    </r>
    <r>
      <rPr>
        <sz val="12"/>
        <color theme="1"/>
        <rFont val="Calibri"/>
        <family val="2"/>
        <scheme val="minor"/>
      </rPr>
      <t xml:space="preserve"> are included to accommodate Small, Medium, and Large scales using formulae in the Quantity column.</t>
    </r>
  </si>
  <si>
    <t>Based on 5% Mo2C/SiO2 at 200-ton scale.</t>
  </si>
  <si>
    <t>Dryer, rotary (100–300 °C)</t>
  </si>
  <si>
    <t>Dryer, rotary (40–100 °C)</t>
  </si>
  <si>
    <t>N/A at large scale</t>
  </si>
  <si>
    <t>Small scale only</t>
  </si>
  <si>
    <t>s</t>
  </si>
  <si>
    <t>--</t>
  </si>
  <si>
    <t>Based on 5% Pt/TiO2 at 100-ton scale.</t>
  </si>
  <si>
    <t>mol/mol</t>
  </si>
  <si>
    <t>CatCost Scaled Quantity</t>
  </si>
  <si>
    <t>CatCost Scaled Size</t>
  </si>
  <si>
    <t>Based on ZSM-5 at 200-ton scale.</t>
  </si>
  <si>
    <t>Based on 20% ZSM-5/Silica NH4+ at 200-ton scale.</t>
  </si>
  <si>
    <t>FCC Catalyst (USY w/ RE)</t>
  </si>
  <si>
    <t>A modern FCC catalyst based on Ultrastable zeolite Y with rare earth at 200-ton scale.</t>
  </si>
  <si>
    <t>Template names (do not edit):</t>
  </si>
  <si>
    <t>Zeolite ZSM-5 (Bulk)</t>
  </si>
  <si>
    <t>Zeolite ZSM-5 Diluted with Metal Oxide</t>
  </si>
  <si>
    <t>Zeolite Beta (Bulk)</t>
  </si>
  <si>
    <t>Based on Zeolite Beta at 200-ton scale.</t>
  </si>
  <si>
    <t>Zeolite Beta with Metal Active Site</t>
  </si>
  <si>
    <t>Based on 5% Cu on Zeolite Beta at 200-ton scale.</t>
  </si>
  <si>
    <t>Red Mud</t>
  </si>
  <si>
    <t>Reforming of red mud to active catalyst form at 300-ton scale.</t>
  </si>
  <si>
    <t>Magnesia/Alumina</t>
  </si>
  <si>
    <t>Magnesia/alumina catalyst (3MgO/Al2O3) based on 200-ton scale.</t>
  </si>
  <si>
    <t>Metal (PGM) on Metal Oxide</t>
  </si>
  <si>
    <t>Metal (PGM) on Carbon</t>
  </si>
  <si>
    <t>Based on 2% Pt/C at 2-ton scale.</t>
  </si>
  <si>
    <t>Metal (Earth Abundant) on Metal Oxide</t>
  </si>
  <si>
    <t>Based on 21% Ni/Al2O3 at 20-ton scale.</t>
  </si>
  <si>
    <t>infomine.com</t>
  </si>
  <si>
    <t>London Metals Exchange</t>
  </si>
  <si>
    <t>Dryer, steam-tube 1.0 m diameter, 21-58 m2 (Perry's)</t>
  </si>
  <si>
    <t>Free tube surface area, m2</t>
  </si>
  <si>
    <t>Perry's 8th</t>
  </si>
  <si>
    <t>Overall diameter 0.965 m, containing 14 tubes of 114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</si>
  <si>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1.4 m diameter, 58-135 m2  (Perry's)</t>
  </si>
  <si>
    <t>Overall diameter 1.372 m, containing 18 tubes of 114 mm diameter and 18 tubes of 63.5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</si>
  <si>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1.8 m diameter, 118-350 m2  (Perry's)</t>
  </si>
  <si>
    <t>Overall diameter 1.829 m, containing 27 tubes of 114 mm diameter and 27 tubes of 76.2 mm diameter. Information from Swenson Process Equipment as reproduced in Perry's 8th ed. Scaling is done by increasing length (e.g.for diameter = 0.965 m and length = 4.572 m, tube surface area = 21.4 m2, while for diameter = 0.965 m and length = 9.144 m, tube surface area = 44.6 m2).</t>
  </si>
  <si>
    <t>Dryer, steam-tube 2.4 m diameter, 350-1200 m2  (Perry's)</t>
  </si>
  <si>
    <t>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t>
  </si>
  <si>
    <t>Return on capital invested (pre-tax)</t>
  </si>
  <si>
    <t>Best Choice for this Spent Catalyst:</t>
  </si>
  <si>
    <t>Plant Life</t>
  </si>
  <si>
    <t>Plant Life (for depreciation)</t>
  </si>
  <si>
    <t>Purchase Basis for Lab-Scale Log Fit</t>
  </si>
  <si>
    <t>long ton</t>
  </si>
  <si>
    <t>tonne</t>
  </si>
  <si>
    <t>1-Hexanol, syn. tanks, f.o.b.</t>
  </si>
  <si>
    <t>1,4 Butanediol, dms., f.o.b., frt. equald.</t>
  </si>
  <si>
    <t>1,4 Butanediol, tanks, f.o.b., frt. equald.</t>
  </si>
  <si>
    <t>2-Ethylhexanol, tanks, dlvd.</t>
  </si>
  <si>
    <t>2-Ethylhexyl acrylate, straight or mixed tanks, frt. alld. E.</t>
  </si>
  <si>
    <t>a-Methylstyrene, f.o.b. shipping point</t>
  </si>
  <si>
    <t>Acetaldehyde, 99% bulk, frt.alld</t>
  </si>
  <si>
    <t>Acetic acid, US Golf, spot f.o.b export</t>
  </si>
  <si>
    <t>Acetic acid, US Gulf, contract list del.</t>
  </si>
  <si>
    <t>Acetic anhydride, tanks, dlvd. E.</t>
  </si>
  <si>
    <t>Acetone, US Golf, contract trucks</t>
  </si>
  <si>
    <t>Acetone, US Golf, spot f.o.b. export</t>
  </si>
  <si>
    <t>Acetone, US Gulf, contract barges (MMA)</t>
  </si>
  <si>
    <t>Acetonitrile, bulk, frt. equalized</t>
  </si>
  <si>
    <t>Acetylsalicyclic acid (Asprin), USP, cryst., powd. 250-lb. dms, c.l., f.o.b.</t>
  </si>
  <si>
    <t>Acetylsalicylcic acid (Asprin), 90% granulation, white 250-lb. dms., c.l., f.o.b.</t>
  </si>
  <si>
    <t>Acrylate esters, US Gulf, contract DF ethyl-A</t>
  </si>
  <si>
    <t>Acrylate esters, US Gulf, contract DF methyl-A</t>
  </si>
  <si>
    <t>Acrylate esters, US Gulf, contract FD 2EHA</t>
  </si>
  <si>
    <t>Acrylate esters, US Gulf, contract FD butyl-A</t>
  </si>
  <si>
    <t>Acrylate esters, US Gulf, export spot 2EHA</t>
  </si>
  <si>
    <t>Acrylate esters, US Gulf, export spot butyl-A</t>
  </si>
  <si>
    <t>Acrylic acid glacial, US Golf, spot export</t>
  </si>
  <si>
    <t>Acrylic acid glacial, US Gulf, contract FD</t>
  </si>
  <si>
    <t>Acrylonitrile-butadiene-styrene resin, US Gulf, ABS (ext. high) dom. bulk</t>
  </si>
  <si>
    <t>Acrylonitrile-butadiene-styrene resin, US Gulf, ABS (ext. high) dom. package</t>
  </si>
  <si>
    <t>Acrylonitrile-butadiene-styrene resin, US Gulf, ABS (ext. med) dom. package</t>
  </si>
  <si>
    <t>Acrylonitrile-butadiene-styrene resin, US Gulf, ABS (ext.med) dom.bulk</t>
  </si>
  <si>
    <t>Acrylonitrile-butadiene-styrene resin, US Gulf, ABS (inj. high) dom.bulk</t>
  </si>
  <si>
    <t>Acrylonitrile-butadiene-styrene resin, US Gulf, ABS (inj. high) dom.package</t>
  </si>
  <si>
    <t>Acrylonitrile-butadiene-styrene resin, US Gulf, ABS (inj. med) dom. package</t>
  </si>
  <si>
    <t>Acrylonitrile-butadiene-styrene resin, US Gulf, ABS (ink. med) dom. bulk</t>
  </si>
  <si>
    <t>Acrylonitrile, US Golf, contract dom. del.</t>
  </si>
  <si>
    <t>Acrylonitrile, US Gulf, contract export f.o.b.</t>
  </si>
  <si>
    <t>Acrylonitrile, US Gulf, spot f.o.b. export</t>
  </si>
  <si>
    <t>Adipic acid resin, bgs., tl., c.l, frt. equald</t>
  </si>
  <si>
    <t>Adipic acid resin, resin grade bulk, hopper cars, frt. equald.</t>
  </si>
  <si>
    <t>Aliuminum sulfate, coml. grd., 50-lb. bgs., c.l., works, frt. equald., 17% Al23, E. and Gulf Coasts</t>
  </si>
  <si>
    <t>Alumina, metalurgical grade, bulk, spot</t>
  </si>
  <si>
    <t>Aluminum chloride, anhydrous, anhyd, bulk, bins, 6 lb. drms, c.l., t.l., works, frt. equald.</t>
  </si>
  <si>
    <t>Aluminum sulphate, 5-lb. bgs., c.l., works, frt. equald., 17% Al203, W. Coast</t>
  </si>
  <si>
    <t>Aluminum sulphate, iron-free, dry 100-lb. bgs., c.l., works, frt. equald., 17% A1203</t>
  </si>
  <si>
    <t>Aluminum sulphate, iron-free, liq. tanks, works, frt. equald., 17% A1203</t>
  </si>
  <si>
    <t>Aluminum sulphate, liq. tanks, c.l., works, frt. equald,. 17% A1203, N.E.</t>
  </si>
  <si>
    <t>Aminoacetic acid, USP, dms., 20,000 lbs., f.o.b. works</t>
  </si>
  <si>
    <t>Aminosalicylic acid, USP 1,000 kilos or more</t>
  </si>
  <si>
    <t>Ammonia, US Gulf, spot c.f.r. Tampa</t>
  </si>
  <si>
    <t>Ammonia, US Gulf, spot f.o.b New Orleans</t>
  </si>
  <si>
    <t>Ammonium nitrate, dom., fertilizer grade, 33.5% N bulk, S.E. dlvd.</t>
  </si>
  <si>
    <t>Ammonium phosphate, (diammonium phosphate) fert. grade, min 18% N, 20% P, bulk, c.l., spot, f.o.b. Fla. works</t>
  </si>
  <si>
    <t>Ammonium phosphate, (monoammonium phospahte) fert. grade, min. 13% N. 52% P. bulk, c.l., f</t>
  </si>
  <si>
    <t>Ammonium sulfate, MidCorn Belt bulk, works</t>
  </si>
  <si>
    <t>Ammonium sulfate, Pacific Northwest, bulk, works</t>
  </si>
  <si>
    <t>Aniline, tanks, f.o.b</t>
  </si>
  <si>
    <t>Arabic gum, cleaned Kordofan tears bgs.</t>
  </si>
  <si>
    <t>Arabic gum, NF, powd. bbls</t>
  </si>
  <si>
    <t>Arabic gum, spray dried bgs.</t>
  </si>
  <si>
    <t>Benzene, US Gulf, contract f.o.b.</t>
  </si>
  <si>
    <t>Benzene, US Gulf, spot f.o.b. barges</t>
  </si>
  <si>
    <t>Biodiesel, US Gulf, dom. B100 f.o.b. Midwest</t>
  </si>
  <si>
    <t>Bisphenol-A, epoxy grade hopper cards, dlvd</t>
  </si>
  <si>
    <t>Bisphenol-A, polycarbonate grade hoppers cars, dlvd.</t>
  </si>
  <si>
    <t>Borax, gran., anhydrous bulk, c.l., f.o.b.</t>
  </si>
  <si>
    <t>Borax, gran., pentahydrate bulk, c.l., f.o.b</t>
  </si>
  <si>
    <t>Borax, granular bgs., c.l., f.o.b.</t>
  </si>
  <si>
    <t>Borax, pentahydrate 50-lb. bgs., t.l., f.o.b. works</t>
  </si>
  <si>
    <t>Boric acid, anhyd., tech., gran.bgs., c.l., f.o.b</t>
  </si>
  <si>
    <t>Boric acid, granular 50-lb.bgs., t.l., f.o.b. works</t>
  </si>
  <si>
    <t>Bromine, bulk, t.l., works [Dlvd. W. of Rockies, 1c/lb. higher. t.t. min 30,000 min add 1-2c.]</t>
  </si>
  <si>
    <t>Butadiene, US Gulf, contract f.o.b. USG</t>
  </si>
  <si>
    <t>Butadiene, US Gulf, sot f.o.b. USG dom.</t>
  </si>
  <si>
    <t>Butadiene, US Gulf, spot c.i.f.</t>
  </si>
  <si>
    <t>Butene-1, tanks. f.o.b. works</t>
  </si>
  <si>
    <t>Butyl acetate, US Gulf, dom. contract consumer</t>
  </si>
  <si>
    <t>Butyl acetate, US Gulf, spot USG export</t>
  </si>
  <si>
    <t>Butyraldehyde, tanks, dlvd.E.</t>
  </si>
  <si>
    <t>Calcium carbide, bulk, c.l., f.o.b.</t>
  </si>
  <si>
    <t>Calcium carbonate, (ground) dry, coarse (9-17 microns) bgs., bulk, t.l.</t>
  </si>
  <si>
    <t>Calcium carbonate, (ground) fine (0.5-microns) bgs., t.l., f.o.b. works</t>
  </si>
  <si>
    <t>Calcium carbonate, (ground) medium (4-9 microns) bgs., t.l.</t>
  </si>
  <si>
    <t>Calcium carbonate, precipitated, tech. (0.5 microns) 50-lb. bgs., t.l., f.o.b. Adams, MA</t>
  </si>
  <si>
    <t>Calcium carbonate, surface-treated, tech. 50-lb. bgs., f.o.b. Adams, MA</t>
  </si>
  <si>
    <t>Calcium carbonate, ultrafine (0.05-0.5 microns) 50-lb., bgs., f.o.b. works</t>
  </si>
  <si>
    <t>Calcium chloride, anhyd. 94-97%, flake or pellet, 50-lb. bgs., c.l., works</t>
  </si>
  <si>
    <t>Calcium chloride, anhyd. 94-97%, flake or pellet, 50-lb. bgs., works</t>
  </si>
  <si>
    <t>Calcium chloride, anhyd. 94-97%, flake or pellet, bulk, c.l., works</t>
  </si>
  <si>
    <t>Calcium chloride, conc. reg. 77-80%, flake 50-lb. bgs., paper, plastic, works</t>
  </si>
  <si>
    <t>Calcium chloride, conc. reg. 77-80%, flake, bulk, c.l., works</t>
  </si>
  <si>
    <t>Calcium chloride, liq. 35% basis t.c., t.t.</t>
  </si>
  <si>
    <t>Calcium chloride, liq. 45% basis, t.c., t.t.</t>
  </si>
  <si>
    <t>Calcium gluconate, USP, powd. f.o.b. warehouse</t>
  </si>
  <si>
    <t>Calcium hypochlorite, bulk, sacks t.l. delivered</t>
  </si>
  <si>
    <t>Calcium pantothenate, USP 100-500-kilo lots</t>
  </si>
  <si>
    <t>Calcium phosphate, dibasic, anhyd., USP bgs., c.l., t.l., works, frt. equald.</t>
  </si>
  <si>
    <t>Calcium phosphate, dibasic, dentrifice, dihydrate c.l., t.l., works, frt. equald.</t>
  </si>
  <si>
    <t>Calcium phosphate, dibasic, dihydrate, USP bgs., c.l., t.l., works, frt. equald.</t>
  </si>
  <si>
    <t>Calcium phosphate, dibasic, feed grade, 18.5% P. bulk, c.l., t.l., f.o.b. works</t>
  </si>
  <si>
    <t>Calcium phosphate, food grade, FCC bgs., c.l., t.l., frt. eqld.</t>
  </si>
  <si>
    <t>Calcium phosphate, monobasic monohydrate, food gr., bgs., c.l., t.l., works, frt. alld.</t>
  </si>
  <si>
    <t>Calcium phosphate, tribasic, NF precip. bgs., c.l., frt. eqld.</t>
  </si>
  <si>
    <t>Caprolactam, flake bgs., t.l.</t>
  </si>
  <si>
    <t>Caprolactam, monomer, molten tanks, f.o.b. shipping point</t>
  </si>
  <si>
    <t>Carbon black, fast extruding (N550), bulk, c.l., works</t>
  </si>
  <si>
    <t>Carbon black, thermal, medium bulk, c.l., works</t>
  </si>
  <si>
    <t>Caustic potash (potassium hydroxide), liq. West Coast, 45% basis tanks, ex terminal</t>
  </si>
  <si>
    <t>Caustic potash, flake, 88-92% 400-lb. dms., c.l., works</t>
  </si>
  <si>
    <t>Caustic soda (sodium hydroxide), liq., dst contract f.o.b.</t>
  </si>
  <si>
    <t>Caustic soda (sodium hydroxide), liq., dst spot barge f.o.b. USG</t>
  </si>
  <si>
    <t>Caustic soda (sodium hydroxide), liq., spot export f.o.b. USG</t>
  </si>
  <si>
    <t>Chlorinated paraffin, 40% chlorine, bgs., bulk</t>
  </si>
  <si>
    <t>Chlorinated paraffin, 50% chlorine bgs., bulk</t>
  </si>
  <si>
    <t>Chlorinated paraffin, 60% chlorine bgs., bulk</t>
  </si>
  <si>
    <t>Chlorinated paraffin, 70% chlorine, resinous bgs., bulk</t>
  </si>
  <si>
    <t>Chlorine, US Gulf, domestic, quarter contract</t>
  </si>
  <si>
    <t>Chloroform, US Gulf, spot ex-plant</t>
  </si>
  <si>
    <t>Chloroform, US Gulf, spot f.o.b. USG</t>
  </si>
  <si>
    <t>Choline chloride, 60% dry supplement bgs., 40,000 lbs. min.</t>
  </si>
  <si>
    <t>Choline chloride, 60% dry supplement bulk hopper cars</t>
  </si>
  <si>
    <t>Choline chloride, feed grade, 70% aqueous t.c., t.t., dlvd. E. of Rockies</t>
  </si>
  <si>
    <t>Choline chloride, pharmaceutical 50-kilo lots, f.o.b. Springfield, Mo.</t>
  </si>
  <si>
    <t>Choline dihydrogen citrate, 98% min., 50-kilo lots, f.o.b. Springfield, Mo.</t>
  </si>
  <si>
    <t>Citric acid, USP, anhyd., powd., pallet loads, pharmaceutical customers</t>
  </si>
  <si>
    <t>Citric acid, USP, anhyd., t.l. for customers buying 500,000-600,000</t>
  </si>
  <si>
    <t>Citric acid, USP, anhydrous, granular, 50-lb. bgs., t.l.</t>
  </si>
  <si>
    <t>Citric acid, USP, monohydrate, gran. 50-kilo dms., t.l., dlvd. E.</t>
  </si>
  <si>
    <t>Copper gluconate, FCC grade 25 kilo dms., f.o.b. warehouse</t>
  </si>
  <si>
    <t>Copper naphthenate, liq., 8% Cu. 450-lb. dms.</t>
  </si>
  <si>
    <t>Copper oxide, red, cuprous, 97% Cu. dms., t.l.</t>
  </si>
  <si>
    <t>Cumene, US Gulf, contract f.o.b.</t>
  </si>
  <si>
    <t>Cyclohexane, bulk, barges, works</t>
  </si>
  <si>
    <t>Dicyclopentadiene, high purity, 97-98% tanks, works</t>
  </si>
  <si>
    <t>Diethylene glycol monobutyl etheracetate, ms., c.l., dlvd. E.</t>
  </si>
  <si>
    <t>Diethylene glycol monobutyl etheracetate, tanks, dlvd. E</t>
  </si>
  <si>
    <t>Diethylene glycol, tanks, dlvd. E.</t>
  </si>
  <si>
    <t>Dipropylene glycol, tanks, f.o.b.</t>
  </si>
  <si>
    <t>dl-Calcium pantothenate, feed grade, f.o.b., frt. alld., 250 lbs or more</t>
  </si>
  <si>
    <t>dl-Leucine, dms., works</t>
  </si>
  <si>
    <t>dl-Phenylalanine, dms., 25-kilo lots</t>
  </si>
  <si>
    <t>Epichlorohydrin, tanks, dlvd.</t>
  </si>
  <si>
    <t>Epoxy resin, std. liq. dom. del. N. Am</t>
  </si>
  <si>
    <t>Epoxy resin, std. liq. spot del N. Am.</t>
  </si>
  <si>
    <t>Epoxy resin, std. solid, dom. del. N. Am.</t>
  </si>
  <si>
    <t>Erythorbic acid, powd., gran. 100-lb. dms t.l., mixed t.l., f.o.b. works</t>
  </si>
  <si>
    <t>Ethyl acetate, US Gulf, contract consumer</t>
  </si>
  <si>
    <t>Ethyl acetate, US Gulf, spot USG (exp)</t>
  </si>
  <si>
    <t>Ethyl acrylate, tanks, frt. alld.</t>
  </si>
  <si>
    <t>Ethyl alcohol, fuel, spot anhy. f.o.b. USG</t>
  </si>
  <si>
    <t>Ethyl alcohol, fuel, spot Chicago</t>
  </si>
  <si>
    <t>Ethyl alcohol, fuel, spot NY Harbour</t>
  </si>
  <si>
    <t>Ethyl alcohol, fuel, spot southern California</t>
  </si>
  <si>
    <t>Ethyl alcohol, industrial, contract 190 proof (del.)</t>
  </si>
  <si>
    <t>Ethyl alcohol, industrial, contract 200 proof (del.)</t>
  </si>
  <si>
    <t>Ethyl benzoate, dms.</t>
  </si>
  <si>
    <t>Ethyl vanillin, FCC, c.i.f.</t>
  </si>
  <si>
    <t>Ethylamine, anhyd. tanks, frt. prepaid, 100% basis</t>
  </si>
  <si>
    <t>Ethylamine, di, di dms., c.l., dlvd.</t>
  </si>
  <si>
    <t>Ethylamine, di, di tanks, dlvd. l</t>
  </si>
  <si>
    <t>Ethylamine, mono, 70% aqueous tanks, frt. prepaid, 100% basis</t>
  </si>
  <si>
    <t>Ethylamine, tri, tri dms., c.l., dlvd.</t>
  </si>
  <si>
    <t>Ethylamine, tri, tri tanks, dlvd.</t>
  </si>
  <si>
    <t>Ethylbenzene, spot f.o.b. USG</t>
  </si>
  <si>
    <t>Ethylene dichloride, spot f.o.b. USG</t>
  </si>
  <si>
    <t>Ethylene glycol, anti-freeze tanks, f.o.b.</t>
  </si>
  <si>
    <t>Ethylene glycol, industrial-grade, f.o.b.</t>
  </si>
  <si>
    <t>Ethylene glycol, monobutyl ether tanks, dlvd. E.</t>
  </si>
  <si>
    <t>Ethylene glycol, polyester, tanks, f.o.b.</t>
  </si>
  <si>
    <t>Ethylene oxide, contract f.o.b.</t>
  </si>
  <si>
    <t>Ethylene, US Gulf, contract del.</t>
  </si>
  <si>
    <t>Ethylene, US Gulf, spot del. (pipeline)</t>
  </si>
  <si>
    <t>Ethylenediamine tetraacetic acid, tetrasodium salt, soln. t.c., t.t., frt. equald.</t>
  </si>
  <si>
    <t>Ethylenediamine, 99% tanks, f.o.b. works</t>
  </si>
  <si>
    <t>Eugenol, FCC, USP, c.f.r.</t>
  </si>
  <si>
    <t>Expanded polystyrene, N. Am., dom. block</t>
  </si>
  <si>
    <t>Expanded polystyrene, N. Am., dom. bulk</t>
  </si>
  <si>
    <t>Expanded polystyrene, N. Am., dom. del. Mexico</t>
  </si>
  <si>
    <t>Expanded polystyrene, N. Am., dom. package</t>
  </si>
  <si>
    <t>Fatty alcohols, 42 deg. Be., photo grade, dms., c.l., 100 lb</t>
  </si>
  <si>
    <t>Fatty alcohols, US Gulf, dom., C12-C15 alcohol</t>
  </si>
  <si>
    <t>Fatty alcohols, US Gulf, dom., C16-C18 alcohol</t>
  </si>
  <si>
    <t>Fatty alcohols, US Gulf, dom., C8-C11 alcohol</t>
  </si>
  <si>
    <t>Ferric chloride, technical grade, 100% basis, tanks, f.o.b. works</t>
  </si>
  <si>
    <t>Ferrous gluconate, NF f.o.b warehouse, works. E.</t>
  </si>
  <si>
    <t>Ferrous sulfate heptahydrate, dry, t.l., f.o.b. Indianapolis</t>
  </si>
  <si>
    <t>Ferrous sulfate heptahydrate, moist, t.l., f.o.b. producing point</t>
  </si>
  <si>
    <t>Ferrous sulfate monohydrate, food grade, USP/FCC, f.o.b. Indianapolis</t>
  </si>
  <si>
    <t>Formaldehyde, 37% (inhibited 11-15% methanol) tanks, f.o.b. Gulf</t>
  </si>
  <si>
    <t>Formaldehyde, 37% (inhibited 7% methanol) tanks, f.o.b. Gulf</t>
  </si>
  <si>
    <t>Formaldehyde, 37% methanol-free (uninhibited) tanks, f.o.b. Gulf</t>
  </si>
  <si>
    <t>Fumaric acid, food grade bgs., t.l., frt. equald.</t>
  </si>
  <si>
    <t>Gelatin, 125 AOAC test dms., l.t.l., dlvd.</t>
  </si>
  <si>
    <t>Gelatin, 150 AOAC test dms., l.t.l., dlvd.</t>
  </si>
  <si>
    <t>Gelatin, 175 AOAC test dms., l.t.l., dlvd.</t>
  </si>
  <si>
    <t>Gelatin, 200 AOAC test dms., l.t.l., dlvd.</t>
  </si>
  <si>
    <t>Gelatin, 225 AOAC test dms., l.t.l., dlvd.</t>
  </si>
  <si>
    <t>Gelatin, 250 AOAC test dms., l.t.l., dlvd.</t>
  </si>
  <si>
    <t>Gelatin, 275 AOAC test dms., l.t.l., dlvd.</t>
  </si>
  <si>
    <t>Gelatin, 300 AOAC test dms., l.t.l., dlvd.</t>
  </si>
  <si>
    <t>Gluconic acid, 99.5% dms., 100-lb. lots, frt. alld.</t>
  </si>
  <si>
    <t>Gluconic acid, tanks, works, f.o.b. works</t>
  </si>
  <si>
    <t>Gluconic acid, tech., 50% dms., works, cl., t.l., f.o.b. works</t>
  </si>
  <si>
    <t>Glycerine, US Gulf, contract, pharma grade</t>
  </si>
  <si>
    <t>Glycerine, US Gulf, contract, tallow</t>
  </si>
  <si>
    <t>Glycerine, US Gulf, contract, vegetable &amp; syn</t>
  </si>
  <si>
    <t>Glycerine, US Gulf, spot, tallow</t>
  </si>
  <si>
    <t>Glycerine, US Gulf, spot, veg &amp; syn</t>
  </si>
  <si>
    <t>Grease, (spot cash basis) yellow, maximum 10% ffa., tanks</t>
  </si>
  <si>
    <t>Grease, (spot cash basis), white, choice, tanks, dlvd., Chicago</t>
  </si>
  <si>
    <t>Heptane, indust. tanks, f.o.b. Beaumont, Tex.</t>
  </si>
  <si>
    <t>Heptane, indust. tanks, works</t>
  </si>
  <si>
    <t>Hexane, 95% tanks, f.o.b. Houston, Tex.</t>
  </si>
  <si>
    <t>Hexane, indust. tanks, works</t>
  </si>
  <si>
    <t>Hydrochloric acid, 22 deg. Be, US Gulf dom. ex-works US NE</t>
  </si>
  <si>
    <t>Hydrochloric acid, 22 deg. Be, US Gulf dom. ex-works USG</t>
  </si>
  <si>
    <t>Hydrogen peroxide, 35%, tech., tankcars, works, frt. equald.</t>
  </si>
  <si>
    <t>Hydrogen peroxide, 50%, as is basis, 15-gal. dms., frt. equald.</t>
  </si>
  <si>
    <t>Hydrogen peroxide, 50%, as is basis, 55-gal dms., frt. equald.</t>
  </si>
  <si>
    <t>Hydrogen peroxide, 50%, as is basis, tankcars, frt. equald.</t>
  </si>
  <si>
    <t>Hydrogen peroxide, 70%, as is basis, tankcars, frt. equald.</t>
  </si>
  <si>
    <t>Ibuprofen, dms., t.l., f.o.b.</t>
  </si>
  <si>
    <t>Iodine, dms.</t>
  </si>
  <si>
    <t>Iron oxide, black, syn. bgs., t.l., f.o.b. whse.</t>
  </si>
  <si>
    <t>Iron oxide, buff, dark, nat., dom. bgs., t.l., f.o.b. whse.</t>
  </si>
  <si>
    <t>Iron oxide, buff, light, nat., dom. bgs., t.l., f.o.b. whse.</t>
  </si>
  <si>
    <t>Iron oxide, buff, nat., dom. bgs., t.l., f.o.b. whse.</t>
  </si>
  <si>
    <t>Iron oxide, yellow, syn. bgs., t.l., f.o.b. whse</t>
  </si>
  <si>
    <t>Isobutanol, bulk</t>
  </si>
  <si>
    <t>Isobutylene, 99% tanks, f.o.b. works</t>
  </si>
  <si>
    <t>Isopropyl alcohol, US Gulf, contract, del. consumer</t>
  </si>
  <si>
    <t>Isopropyl alcohol, US Gulf, spot f.o.b. export</t>
  </si>
  <si>
    <t>Isopropyl alcohol, US Gulf, spot f.o.b. tank</t>
  </si>
  <si>
    <t>Isopropyl ether, refd. tanks, dlvd.</t>
  </si>
  <si>
    <t>Kaolin, calcined, paper grade bgs., t.l.</t>
  </si>
  <si>
    <t>Kaolin, hydrous, paper grade bgs., t.l.</t>
  </si>
  <si>
    <t>Kaolin, NF powd., colloidal 20-lb. ctns.</t>
  </si>
  <si>
    <t>l-Lysine monohydrochloride, feed grade, 10,000lbs, dlvd.</t>
  </si>
  <si>
    <t>L-Threonine, feed grade</t>
  </si>
  <si>
    <t>L-Threonine, USP grade</t>
  </si>
  <si>
    <t>l-Tryptophan, feed grade dms., 25-kilo lots</t>
  </si>
  <si>
    <t>Lactic acid, food grade 50% dms., t.l., f.o.b.</t>
  </si>
  <si>
    <t>Lactic acid, food grade 88% t.l., f.o.b. works</t>
  </si>
  <si>
    <t>Lactic acid, tech., 88% t.c., frt. equald.</t>
  </si>
  <si>
    <t>Lactose, edible bgs., c.l., works</t>
  </si>
  <si>
    <t>Lactose, USP, reg. dms., c.l., t.l., frt. equald.</t>
  </si>
  <si>
    <t>Lactose, USP, spray dried bgs., t.l., frt. equald.</t>
  </si>
  <si>
    <t>Lauric acid, Asia, f.o.b./c.f.r., dlvd</t>
  </si>
  <si>
    <t>Lecithin, bleached, tech., bulk, drums, f.o.b. Decatur,IL</t>
  </si>
  <si>
    <t>Lecithin, unbleached, tech., drums, f.o.b. Decatur, IL</t>
  </si>
  <si>
    <t>Lime, chemical pebble (quicklime), hydrated bulk, c.l., f.o.b. works</t>
  </si>
  <si>
    <t>Lime, chemical, pebble (quicklime) bulk, f.o.b. plants</t>
  </si>
  <si>
    <t>Lime, hydrated, bulk, t.l., f.o.b. works</t>
  </si>
  <si>
    <t>Linear alkyl benzene (LAB), dlvd.</t>
  </si>
  <si>
    <t>Linear alkyl sulfonate (LAS), bulk</t>
  </si>
  <si>
    <t>Linseed oil, (spot cash basis), crude, Minneapolis</t>
  </si>
  <si>
    <t>Linseed oilmeal, (spot cash basis), extracted, 34% bulk Fargo</t>
  </si>
  <si>
    <t>Litsea cubeba oil, 84/86%, Chinese, f.o.b.</t>
  </si>
  <si>
    <t>m-Xylene, high-purity tanks, f.o.b. Texas City, Tex.</t>
  </si>
  <si>
    <t>Magnesium chloride, anhyd., 92% flake or pebble dms., c.l., works</t>
  </si>
  <si>
    <t>Magnesium chloride, hydrous, 99% flake bgs., c.l., works</t>
  </si>
  <si>
    <t>Magnesium gluconate, 100-lb. dms., f.o.b. works, E.</t>
  </si>
  <si>
    <t>Magnesium hydroxide, powder, technical dms., bags, t.l., f.o.b.</t>
  </si>
  <si>
    <t>Magnesium hydroxide, slurry, technical, dms, t.l., l.t.l., f.o.b.</t>
  </si>
  <si>
    <t>Magnesium oxide, deadburned bgs., c.l., t.l., works</t>
  </si>
  <si>
    <t>Magnesium oxide, hardburned,, 98% synth, tech. chemical, t.l. fob, works, bulk, cl</t>
  </si>
  <si>
    <t>Magnesium sulfate, 10% Mg., (epsom salts) tech. bgs., t.l., works</t>
  </si>
  <si>
    <t>Magnesium sulfate, bulk, works</t>
  </si>
  <si>
    <t>Magnesium sulfate, USP, cryst. 50-lb. bgs., t.l., works</t>
  </si>
  <si>
    <t>Magnesium sulfate, USP, cryst. bulk, t.l., works</t>
  </si>
  <si>
    <t>Magnesium sulfate, USP, cryst. semi-bulk bag, 2000 lbs., works</t>
  </si>
  <si>
    <t>Maleic anhydride, bgs., t.l., works, frt. equald.</t>
  </si>
  <si>
    <t>Maleic anhydride, tanks, works, frt. equald.</t>
  </si>
  <si>
    <t>Malic acid, purif., and food grades 50-lb. bgs., t.l., c.l., dlvd.</t>
  </si>
  <si>
    <t>Manganese gluconate, FCC grade 100-lb. dms., f.o.b. works</t>
  </si>
  <si>
    <t>Melamine fine, fine c.l., t.l., same basis</t>
  </si>
  <si>
    <t>Melamine-formaldehyde resin, g.p. t.l., frt. alld.</t>
  </si>
  <si>
    <t>Melamine-formaldehyde resin, molding compounds t.l., frt. alld.</t>
  </si>
  <si>
    <t>Melamine, US Gulf, dom. bulk</t>
  </si>
  <si>
    <t>Menhaden meal, 60% bulk, East Coast and Gulf</t>
  </si>
  <si>
    <t>Menhaden oil, bulk, East Coast and Gulf</t>
  </si>
  <si>
    <t>Menthol, BP/USP, Indian, dms., c.i.f.</t>
  </si>
  <si>
    <t>Menthol, BP/USP, nat., Chinese</t>
  </si>
  <si>
    <t>Methanol, US Gulf, contract barge</t>
  </si>
  <si>
    <t>Methanol, US Gulf, spot dom. barge</t>
  </si>
  <si>
    <t>Methanol, US Gulf, spot export</t>
  </si>
  <si>
    <t>Methionine hydroxyanalogue, Dry, 86% activity t.l., frt. alld.</t>
  </si>
  <si>
    <t>Methionine hydroxyanalogue, liquid 88% activity t.l., frt. alld.</t>
  </si>
  <si>
    <t>Methyl acrylate, tanks, dlvd</t>
  </si>
  <si>
    <t>Methyl chloride, indust. bulk, tanks, f.o.b. works</t>
  </si>
  <si>
    <t>Methyl cinnamate, FCC grade dms.</t>
  </si>
  <si>
    <t>Methyl diphenyl diisocyanate, polymeric MDI, bulk, list</t>
  </si>
  <si>
    <t>Methyl diphenyl diisocyanate, polymeric MDI, bulk, market range</t>
  </si>
  <si>
    <t>Methyl ethyl ketone, tanks, dlvd. E.</t>
  </si>
  <si>
    <t>Methyl heptenone, Pure, dms.</t>
  </si>
  <si>
    <t>Methyl isobutyl ketone, US Gulf, contract del. E Rockies</t>
  </si>
  <si>
    <t>Methyl isobutyl ketone, US Gulf, spot ex-tank</t>
  </si>
  <si>
    <t>Methyl methacrylate, US Gulf, contract, fd railcar</t>
  </si>
  <si>
    <t>Methyl methacrylate, US Gulf, contract, fd tanktruck</t>
  </si>
  <si>
    <t>Methylene chloride, US Gulf, spot ex-tank</t>
  </si>
  <si>
    <t>Methylene chloride, US Gulf, spot f.o.b. USG</t>
  </si>
  <si>
    <t>Microcrystalline wax, coating grades, FDA tanks, works</t>
  </si>
  <si>
    <t>Microcrystalline wax, laminating grades, FDA tanks, works</t>
  </si>
  <si>
    <t>Mineral oil, USP, 180-190 vis. tanks, refd.</t>
  </si>
  <si>
    <t>Mineral oil, USP, 200-210 vis. tanks, refd.</t>
  </si>
  <si>
    <t>Mineral oil, USP, 340-350 vis. tanks, refd.</t>
  </si>
  <si>
    <t>Mineral oil, white, 145-155 vis. tanks, refd.</t>
  </si>
  <si>
    <t>Mineral oil, white, 55-65 vis., NF light, tanks, refd.</t>
  </si>
  <si>
    <t>Mineral oil, white, 65-75 vis. tanks, refd.</t>
  </si>
  <si>
    <t>Mineral oil, white, 80-90 vis. tanks, refd.</t>
  </si>
  <si>
    <t>Monochlorobenzene, tanks, f.o.b.</t>
  </si>
  <si>
    <t>Monopotassium glutamate, dms., 990 lbs. or more, frt. alld.</t>
  </si>
  <si>
    <t>Monosodium glutamate, 100-lb. dms., c.l., t.l., dlvd.</t>
  </si>
  <si>
    <t>Monosodium glutamate, 50-lb. bgs., c.l., t.l., dlvd.</t>
  </si>
  <si>
    <t>MTBE, US Gulf, spot f.o.b. USG</t>
  </si>
  <si>
    <t>Myristic acid, Asia, f.o.b./c.f.r., bulk</t>
  </si>
  <si>
    <t>n-Butanol, bulk</t>
  </si>
  <si>
    <t>n-Butyl acetate, syn. tanks, dlvd. E.</t>
  </si>
  <si>
    <t>n-Butyl acrylate, tanks, frt. alld. E.</t>
  </si>
  <si>
    <t>n-Butyl alcohol, syn. tanks, frt. alld. E.</t>
  </si>
  <si>
    <t>N-Methyl 2-pyrrolidone, dms., c.l., t.l., f.o.b. plant</t>
  </si>
  <si>
    <t>N-Methyl 2-pyrrolidone, tanks, f.o.b. plant</t>
  </si>
  <si>
    <t>n-Propyl acetate, tanks, dlvd. E.</t>
  </si>
  <si>
    <t>n-Propyl alcohol, tanks, dlvd.</t>
  </si>
  <si>
    <t>Neopentyl glycol, powder, flake bgs., t.l., dlvd.</t>
  </si>
  <si>
    <t>Neopentyl glycol, slurry, 90% c.l., t.l., dlvd.</t>
  </si>
  <si>
    <t>Niacinamide, feed grade, 98-99.5% bgs., 5,000 kilos or more, dlvd.</t>
  </si>
  <si>
    <t>Niacinamide, USP dms., 5,000 kilos or more, dlvd.</t>
  </si>
  <si>
    <t>Niacinamide, USP t.l., dms.</t>
  </si>
  <si>
    <t>Nitric acid, 40 deg. Be, 42 deg. Be. tanks, c.l., works, 100% basis</t>
  </si>
  <si>
    <t>Nitrobenzene, tanks, f.o.b.</t>
  </si>
  <si>
    <t>o-Xylene, US Gulf, contract f.o.b.</t>
  </si>
  <si>
    <t>o-Xylene, US Gulf, spot f.o.b. export</t>
  </si>
  <si>
    <t>Oiticica oil, liq. dms shipment</t>
  </si>
  <si>
    <t>Oleic acid, Asia, drum, f.o.b./c.f.r.</t>
  </si>
  <si>
    <t>Oleic acid, drum shipment</t>
  </si>
  <si>
    <t>p-Xylene, US Gulf, contract del.</t>
  </si>
  <si>
    <t>p-Xylene, US Gulf, spot f.o.b. export</t>
  </si>
  <si>
    <t>Palm kernal oil, RBD, NY, c.i.f.</t>
  </si>
  <si>
    <t>Palm oil, (spot cash basis), ref., dlvd., NJ</t>
  </si>
  <si>
    <t>Paraffin wax, US Gulf, melting point 125F-140F, spot f.o.b. USG</t>
  </si>
  <si>
    <t>Paraffin wax, US Gulf, spot, slackwax bulk</t>
  </si>
  <si>
    <t>Peanut oil, (spot cash basis), crude, Southeast restricted</t>
  </si>
  <si>
    <t>Peanut oil, refined (spot cash basis) jumbo tanks, NY</t>
  </si>
  <si>
    <t>Peanut oilmeal, 48% protein, bulk, f.o.b. SE.</t>
  </si>
  <si>
    <t>Pectin, high methoxyl</t>
  </si>
  <si>
    <t>Pectin, low methoxyl</t>
  </si>
  <si>
    <t>Pentaerythritol triacrylate, dms., t.l., f.o.b.</t>
  </si>
  <si>
    <t>Pentaerythritol, tech. bgs., c.l., f.o.b., frt. alld.</t>
  </si>
  <si>
    <t>Perchloroethylene, US Gulf, spot ex-tank</t>
  </si>
  <si>
    <t>Perchloroethylene, US Gulf, spot f.o.b. USG</t>
  </si>
  <si>
    <t>Petrolatum, amber dms., c.l., refd.</t>
  </si>
  <si>
    <t>Petrolatum, amber tanks, refd.</t>
  </si>
  <si>
    <t>Petrolatum, cream dms., c.l. refd.</t>
  </si>
  <si>
    <t>Petrolatum, cream tanks, refd.</t>
  </si>
  <si>
    <t>Petrolatum, lily white dms., c.l., refd.</t>
  </si>
  <si>
    <t>Petrolatum, lily white tanks, refd.</t>
  </si>
  <si>
    <t>Petrolatum, soft white dms., c.l., refd.</t>
  </si>
  <si>
    <t>Petrolatum, soft white tanks, refd.</t>
  </si>
  <si>
    <t>Petrolatum, soft yellow dms., c.l., refd.</t>
  </si>
  <si>
    <t>Petrolatum, soft yellow tanks, refd.</t>
  </si>
  <si>
    <t>Petrolatum, USP snow white, tanks, refd.</t>
  </si>
  <si>
    <t>Petrolatum, USP, snow white dms., c.l., refd.</t>
  </si>
  <si>
    <t>Phenol, US Gulf, contract frt. equald</t>
  </si>
  <si>
    <t>Phenol, US Gulf, spot f.o.b. export</t>
  </si>
  <si>
    <t>Phosgene, bulk,(13-1 ton) ret. cyls, works</t>
  </si>
  <si>
    <t>Phosphoric acid, 80% tanks, frt. equald.</t>
  </si>
  <si>
    <t>Phosphoric acid, 85% tanks, frt. equald.</t>
  </si>
  <si>
    <t>Phosphoric acid, comÃªl and tech., 75% tanks, delivered</t>
  </si>
  <si>
    <t>Phosphoric acid, super tanks, f.o.b. southern states</t>
  </si>
  <si>
    <t>Phosphorus oxychloride, bulk tanks, f.o.b. works</t>
  </si>
  <si>
    <t>Phosphorus pentasulfide, powd. tote bins, sellers</t>
  </si>
  <si>
    <t>Phosphorus pentoxide, 50.-lb. dms., t.l., f.o.b. works</t>
  </si>
  <si>
    <t>Phosphorus trichloride, dms., f.o.b. works</t>
  </si>
  <si>
    <t>Phosphorus trichloride, tanks, f.o.b. works</t>
  </si>
  <si>
    <t>Phosphorus, white, solid tanks, f.o.b. works</t>
  </si>
  <si>
    <t>Phthalic anhydride, US gulf, contract del. flake</t>
  </si>
  <si>
    <t>Pine Oil, US Gulf, contract f.o.b. molten</t>
  </si>
  <si>
    <t>Polycarbonate, 80% min. alcohol content 55- gal. drums, f.o.b. Jacksonville</t>
  </si>
  <si>
    <t>Polycarbonate, US Gulf, ext., dom. package</t>
  </si>
  <si>
    <t>Polycarbonate, US Gulf, GP ext., dom. bulk</t>
  </si>
  <si>
    <t>Polycarbonate, US Gulf, GP ext., spot bulk</t>
  </si>
  <si>
    <t>Polycarbonate, US Gulf, GP ext., spot package</t>
  </si>
  <si>
    <t>Polycarbonate, US Gulf, GP molding, dom. bulk</t>
  </si>
  <si>
    <t>Polycarbonate, US Gulf, GP molding, dom. package</t>
  </si>
  <si>
    <t>Polycarbonate, US Gulf, GP molding, spot bulk</t>
  </si>
  <si>
    <t>Polyester resin, unsaturated, g.p., ortho-phthalic bulk, tankcars, frt. alld.</t>
  </si>
  <si>
    <t>Polyester resin, US Gulf, GP molding, spot package</t>
  </si>
  <si>
    <t>Polyethylene, unsaturated, isophthalic bulk, tankcars, frt. alld.</t>
  </si>
  <si>
    <t>Polyethylene, US Gulf, bagged, export, HDPE blmldg</t>
  </si>
  <si>
    <t>Polyethylene, US Gulf, bagged, export, HDPE injection</t>
  </si>
  <si>
    <t>Polyethylene, US Gulf, bagged, export, HMW HDPE bimodal</t>
  </si>
  <si>
    <t>Polyethylene, US Gulf, bagged, export, LDPE film</t>
  </si>
  <si>
    <t>Polyethylene, US Gulf, bagged, export, LLDPE butene</t>
  </si>
  <si>
    <t>Polyethylene, US Gulf, HDPE blmldg, dom. bulk</t>
  </si>
  <si>
    <t>Polyethylene, US Gulf, HDPE HWM film, dom. bulk</t>
  </si>
  <si>
    <t>Polyethylene, US Gulf, HDPE, injection, dom. bulk</t>
  </si>
  <si>
    <t>Polyethylene, US Gulf, LDPE, clarity grade, dom. bulk</t>
  </si>
  <si>
    <t>Polyethylene, US Gulf, LDPE, liner grade, dom. bulk</t>
  </si>
  <si>
    <t>Polyethylene, US Gulf, LLDPE, dom. film (butene)</t>
  </si>
  <si>
    <t>Polyethylene, US Gulf, LLDPE, dom. film (hexene)</t>
  </si>
  <si>
    <t>Polypropylene, US Gulf, homopolymer dom. bulk raffia</t>
  </si>
  <si>
    <t>Polypropylene, US Gulf, LLDPE, dom. injection</t>
  </si>
  <si>
    <t>Polypropylene, US Gulf, PP bagged, export, injection</t>
  </si>
  <si>
    <t>Polypropylene, US Gulf, PP bagged, export, raffia</t>
  </si>
  <si>
    <t>Polypropylene, US Gulf, PP copolymer, dom. bulk</t>
  </si>
  <si>
    <t>Polypropylene, US Gulf, PP copolymer, dom. GP film</t>
  </si>
  <si>
    <t>Polypropylene, US Gulf, PP homopolymer dom. bulk injection</t>
  </si>
  <si>
    <t>Polystyrene, US Gulf, GP dom. bulk</t>
  </si>
  <si>
    <t>Polystyrene, US Gulf, GP dom. package</t>
  </si>
  <si>
    <t>Polystyrene, US Gulf, HIPS dom. bulk</t>
  </si>
  <si>
    <t>Polystyrene, US Gulf, PP homopolymer dom. bulk film (BOPP)</t>
  </si>
  <si>
    <t>Polyvinyl chloride, US Gulf, dom. GP</t>
  </si>
  <si>
    <t>Polyvinyl chloride, US Gulf, dom. pipe</t>
  </si>
  <si>
    <t>Polyvinyl chloride, US Gulf, HIPS dom. package</t>
  </si>
  <si>
    <t>Potassium carbonate, anhydrous bgs., works</t>
  </si>
  <si>
    <t>Potassium carbonate, anhydrous bulk truck, bulk car, works</t>
  </si>
  <si>
    <t>Potassium carbonate, liq., 47% K2CO3, tank truck or tankcars, works</t>
  </si>
  <si>
    <t>Potassium carbonate, US Gulf, export f.o.b. USG</t>
  </si>
  <si>
    <t>Potassium chloride, anhydrous 400-lb. dms.</t>
  </si>
  <si>
    <t>Potassium chloride, chemical grade, 99.95% KCl bulk, c.l., f.o.b. works</t>
  </si>
  <si>
    <t>Potassium chloride, USP cryst. dms.</t>
  </si>
  <si>
    <t>Potassium chloride, USP gran. dms.</t>
  </si>
  <si>
    <t>Potassium fluoride, USP powd. dms.</t>
  </si>
  <si>
    <t>Potassium gluconate, anhyd. dms., t.l.</t>
  </si>
  <si>
    <t>Potassium pentaborate, dms., t.l., f.o.b. warehouse</t>
  </si>
  <si>
    <t>Potassium pentaborate, gran. bgs., c.l., t.l., works</t>
  </si>
  <si>
    <t>Potassium pentaborate, powder</t>
  </si>
  <si>
    <t>Potassium perchlorate, dms., c.l., t.l., works</t>
  </si>
  <si>
    <t>Potassium pyrophosphate, 50-lb. dms., f.o.b. works</t>
  </si>
  <si>
    <t>Potassium pyrophosphate, tetrabasic anhyd bulk, t.c., t.l., f.o.b. works</t>
  </si>
  <si>
    <t>Potassium sorbate, tetrabasic drums, t.l., f.o.b. works</t>
  </si>
  <si>
    <t>Potassium sulfate, 20,000-lb., dlvd.</t>
  </si>
  <si>
    <t>Potassium sulfate, agri. min. 50% K2O std. bulk, c.l., f.o.b. works</t>
  </si>
  <si>
    <t>Potassium tetraborate, gran. bgs., c.l., t.l., works, f.o.b.</t>
  </si>
  <si>
    <t>Potassium tetraborate, gran., purif. 300-lb. dms.</t>
  </si>
  <si>
    <t>Potassium tetraborate, powder</t>
  </si>
  <si>
    <t>Potassium-magnesium sulfate, dms., c.l., f.o.b., works</t>
  </si>
  <si>
    <t>PropionaldehydePropionic acid, std. bgs., works</t>
  </si>
  <si>
    <t>Propylene glycol, US Gulf, R grade, spot cars</t>
  </si>
  <si>
    <t>Propylene glycol, US Gulf, R grade, spot pipeline</t>
  </si>
  <si>
    <t>Propylene oxide, indust. tanks, f.o.b.</t>
  </si>
  <si>
    <t>Propylene, syn., pure, tanks, f.o.b. works</t>
  </si>
  <si>
    <t>Propylene, tanks, f.o.b.</t>
  </si>
  <si>
    <t>Propylene, US Gulf, C grade, spot cars</t>
  </si>
  <si>
    <t>Propylene, US Gulf, C grade, spot pipeline</t>
  </si>
  <si>
    <t>Propylene, US Gulf, contract C grade</t>
  </si>
  <si>
    <t>Propylene, US Gulf, contract P grade</t>
  </si>
  <si>
    <t>Propylene, US Gulf, contract R grade</t>
  </si>
  <si>
    <t>Propylene, US Gulf, P grade, spot cars</t>
  </si>
  <si>
    <t>Propylene, US Gulf, P grade, spot pipeline</t>
  </si>
  <si>
    <t>Pyridoxine hydrochloride, USP tanks, f.o.b. E.</t>
  </si>
  <si>
    <t>Rapeseed oil, over 45% erucic acid, dms.</t>
  </si>
  <si>
    <t>Safflower oil, edible drums</t>
  </si>
  <si>
    <t>Safflower oil, tanks, N.Y.</t>
  </si>
  <si>
    <t>Salicylic acid, tech. dms., c.l., t.l., f.o.b works</t>
  </si>
  <si>
    <t>Salicylic acid, USP, cryst. dms., 1,000 lbs. or more</t>
  </si>
  <si>
    <t>Salicylic acid, USP, powd. dms., 1,000 lbs. or more</t>
  </si>
  <si>
    <t>Sandalwood oil, E. Indian, f.o.b.</t>
  </si>
  <si>
    <t>Sandalwood oil, Indonesian</t>
  </si>
  <si>
    <t>Sebacic acid, purif. bgs., c.l., works</t>
  </si>
  <si>
    <t>Sebacic acid, purified drums, bulk, works</t>
  </si>
  <si>
    <t>sec-Butyl alcohol, syn. tanks, dlvd.</t>
  </si>
  <si>
    <t>Soda ash (sodium carbonate), dense, US Gulf, f.o.b. bulk</t>
  </si>
  <si>
    <t>Sodium alginate, NF, white powd., dom. 300 lbs. or more</t>
  </si>
  <si>
    <t>Sodium ascorbate, USP dms., 400 kilos</t>
  </si>
  <si>
    <t>Sodium benzoate, tech. bgs., c.l., t.l., frt. dlvd.</t>
  </si>
  <si>
    <t>Sodium benzoate, USP 100-lb. dms., c.l., t.l., frt. alld.</t>
  </si>
  <si>
    <t>Sodium benzoate, USP 50-lb. bgs., c.l., t.l., frt. alld</t>
  </si>
  <si>
    <t>Sodium bicarbonate, gran. bgs., c.l., t.l., works, frt. equald.</t>
  </si>
  <si>
    <t>Sodium bicarbonate, gran., fine bgs., c.l., t.l., works, frt. equald.</t>
  </si>
  <si>
    <t>Sodium bicarbonate, industrial grade 100-lb. bgs., t.l., works, frt. equald.</t>
  </si>
  <si>
    <t>Sodium bicarbonate, USP, coarse 100-lb. bgs., t.l., works, frt. equald.</t>
  </si>
  <si>
    <t>Sodium bicarbonate, USP, powd., reg. grade 100-lb. bgs., t.l., works, frt. equald.</t>
  </si>
  <si>
    <t>Sodium bisulfate, 2,000-lb. bulk bags, t.l., works</t>
  </si>
  <si>
    <t>Sodium bisulfate, 400-lb. dms., c.l., t.l., works</t>
  </si>
  <si>
    <t>Sodium bisulfite, anhyd., bgs., c.l., t.l., works, East</t>
  </si>
  <si>
    <t>Sodium bisulfite, photographic grade, 38% soln., works</t>
  </si>
  <si>
    <t>Sodium bisulfite, soln., 38%, bulk, 100% basis, works, East</t>
  </si>
  <si>
    <t>Sodium chlorate, 100-lb. dms., c.l., works</t>
  </si>
  <si>
    <t>Sodium chlorate, bulk, t.c., t.t., f.o.b. Canadian plant</t>
  </si>
  <si>
    <t>Sodium chlorate, crystal bulk, t.c., t.t., dlvd., US</t>
  </si>
  <si>
    <t>Sodium chlorite, cryst., 80% basis dms., c.l., t.l., works</t>
  </si>
  <si>
    <t>Sodium citrate, USP, gran., dihydrate, 100-lb. bgs., t.l., dlvd.</t>
  </si>
  <si>
    <t>Sodium cyanide, metal finishing grade, dms.,t.l., l.t.l., works</t>
  </si>
  <si>
    <t>Sodium erythorbate, powd., gran. t.l., or mixed t.l., f.o.b. distri. pt.</t>
  </si>
  <si>
    <t>Sodium fluoride, 50 lb., 100-lb. bgs., c.l, f.o.b. El Paso</t>
  </si>
  <si>
    <t>Sodium fluoride, white, 97% 50 lb., 100-lb. bgs. dms., c.l, f.o.b. Tampa</t>
  </si>
  <si>
    <t>Sodium gluconate, tech. 5000-lb. bgs., t.l.,, frt. alld.</t>
  </si>
  <si>
    <t>Sodium hydride, oil dispersion, 60% NaH 220-lb. dms., works</t>
  </si>
  <si>
    <t>Sodium hydrosulfide (sodium sulfhydrate), flake, 70-72%, as is basis bgs., c.l., frt. equald.</t>
  </si>
  <si>
    <t>Sodium hydrosulfide (sodium sulfhydrate), liq., 44-46%, 100% basis tanks, frt. equald.</t>
  </si>
  <si>
    <t>Sodium hydrosulfite, soln., t.c., t.t., 90% dry basis, f.o.b. works</t>
  </si>
  <si>
    <t>Sodium hypophosphite, monohydrate, 400-lb. dms., f.o.b. works</t>
  </si>
  <si>
    <t>Sodium phosphate, anhyd., dibasic dms, c.l., t.l., works, frt. equald</t>
  </si>
  <si>
    <t>Sodium phosphate, anhyd., dibasic, bulk, t.c., t.l., f.o.b. works</t>
  </si>
  <si>
    <t>Sodium phosphate, monobasic dms., c.l., t.l., works, frt. equald.</t>
  </si>
  <si>
    <t>Sodium phosphate, monobasic, food grade bgs, c.l., t.l., works, frt. equald.</t>
  </si>
  <si>
    <t>Sodium phosphate, tribasic, anhyd. dms., c.l., t.l., f.o.b. works</t>
  </si>
  <si>
    <t>Sodium phosphate, tribasic, cryst., food grade bgs, c.l., t.l., works, frt. equald.</t>
  </si>
  <si>
    <t>Sodium phosphate, tribasic, cryst., tech. bgs., c.l., t.l., works, frt. equald.</t>
  </si>
  <si>
    <t>Sodium phosphate, tribasic, food grade bgs., c.l., t.l., works, frt. equald.</t>
  </si>
  <si>
    <t>Sodium sesquicarbonate, bulk, c.l., t.l., works</t>
  </si>
  <si>
    <t>Sodium silicate, 41 deg. solid, 3.22-3.25 ratio bulk, c.l., t.l., frt. equald.</t>
  </si>
  <si>
    <t>Sodium silicate, solid or glass, 1.95-2.00 ratio bulk, c.l., t.l., works</t>
  </si>
  <si>
    <t>Sodium silicate, solid or glass, 3.22-3.25 ratio bulk, c.l., t.l., works</t>
  </si>
  <si>
    <t>Sodium sulfate, Gulf bulk, c.l., works, frt. equald.</t>
  </si>
  <si>
    <t>Sodium sulfide, bgs., c.l., t.l., f.o.b. works</t>
  </si>
  <si>
    <t>Sodium sulfide, flake, 60/62% dms., c.l., t.l., f.o.b. works</t>
  </si>
  <si>
    <t>Sodium sulfite, anhyd. tech.,95-100%, bags, works.</t>
  </si>
  <si>
    <t>Sodium thiosulfate, liquid, 30% bulk, t.t., dry basis</t>
  </si>
  <si>
    <t>Sodium thiosulfate, pentahydrate bags, t.l., f.o.b.</t>
  </si>
  <si>
    <t>Sodium tripolyphosphate (STPP), dms., c.l., t.l., f.o.b. works</t>
  </si>
  <si>
    <t>Sodium tripolyphosphate (STPP), food grade bgs., c.l., t.l., works, frt. equald.</t>
  </si>
  <si>
    <t>Sodium tripolyphosphate (STPP), tech. bgs., c.l., t.l., f.o.b. works</t>
  </si>
  <si>
    <t>Sorbic acid, t.l., 100-lb. dms, dlvd.</t>
  </si>
  <si>
    <t>Sorbitol, US Gulf, contract crystal uSG</t>
  </si>
  <si>
    <t>Sorbitol, US Gulf, contract liq. USP USG</t>
  </si>
  <si>
    <t>Sorbitol, US Gulf, spot crystal USG</t>
  </si>
  <si>
    <t>Sorbitol, US Gulf, spot liq. USP USG</t>
  </si>
  <si>
    <t>Soybean oil, (spot cash basis), crude, Decatur</t>
  </si>
  <si>
    <t>Spearmint oil, Chinese, 60%, c.i.f.</t>
  </si>
  <si>
    <t>Spearmint oil, Chinese, 80%, c.i.f.</t>
  </si>
  <si>
    <t>Spearmint oil, Far West, Scotch, f.o.b.</t>
  </si>
  <si>
    <t>Spearmint oil, Indian, 60%, c.i.f.</t>
  </si>
  <si>
    <t>Stearic acid, Asia, rubber grade, f.o.b./c.f.r.</t>
  </si>
  <si>
    <t>Stearic acid, rubber grade, bulk</t>
  </si>
  <si>
    <t>Stearic acid, triple-pressed, bulk</t>
  </si>
  <si>
    <t>Styrene monomer, US Gulf, contract f.o.b.</t>
  </si>
  <si>
    <t>Styrene monomer, US Gulf, spot f.o.b. export</t>
  </si>
  <si>
    <t>Styrene-acrylonitrile resin, clear bulk, f.o.b. plant</t>
  </si>
  <si>
    <t>Styrene-acrylonitrile resin, cryst. bulk, f.o.b. plant</t>
  </si>
  <si>
    <t>Styrene-acrylonitrile resin, nat. bulk, f.o.b. plant</t>
  </si>
  <si>
    <t>Styrene-Butadiene Rubber, Non-oil grade contract f.o.b. USG</t>
  </si>
  <si>
    <t>Styrene-Butadiene Rubber, Non-oil grade spot f.o.b. USG</t>
  </si>
  <si>
    <t>Styrene-Butadiene Rubber, Oil extended grade contract f.o.b. USG</t>
  </si>
  <si>
    <t>Styrene-Butadiene Rubber, Oil extended grade spot f.o.b. USG</t>
  </si>
  <si>
    <t>Sulfamic acid, bgs., c.l., t.l., f.o.b. works</t>
  </si>
  <si>
    <t>Sulfur dioxide, anhyd. (99.9%) 2000 lbs., f.o.b.</t>
  </si>
  <si>
    <t>Sulfur dioxide, liq. bulk, t.c., t.t., f.o.b. works</t>
  </si>
  <si>
    <t>Sulphur, Frasch &amp; recovered, contract del Tampa</t>
  </si>
  <si>
    <t>Sulphur, Frasch &amp; recovered, contract f.o.b. Vancouver</t>
  </si>
  <si>
    <t>Sulphuric acid, smelter 100% tanks, works, Gulf Coast</t>
  </si>
  <si>
    <t>Sulphuric acid, smelter 100%, tanks, works</t>
  </si>
  <si>
    <t>Sulphuric acid, smelter, 93% tanks, dlvd., Northwest</t>
  </si>
  <si>
    <t>Sulphuric acid, smelter, tanks, intro. Southeast</t>
  </si>
  <si>
    <t>Sulphuric acid, virgin 100%, tanks, works, East Coast</t>
  </si>
  <si>
    <t>Sulphuric acid, virgin 100%, tanks, works, Midwest</t>
  </si>
  <si>
    <t>Sulphuric acid, virgin 100%, tanks, works, Southeast</t>
  </si>
  <si>
    <t>Sulphuric acid, virgin 100%, tanks, works, Southwest</t>
  </si>
  <si>
    <t>Sulphuric acid, virgin 100%, tanks, works, West Coast</t>
  </si>
  <si>
    <t>Sunflowerseed oil, crude, Midwest, f.o.b.</t>
  </si>
  <si>
    <t>Tall oil acids, 2% or more rosin acid tanks, works, frt. equald.</t>
  </si>
  <si>
    <t>Tall oil acids, less than 2% rosin acid tanks., works, frt. equald.</t>
  </si>
  <si>
    <t>Tall oil, crude, Southeast tanks, works, frt. equald.</t>
  </si>
  <si>
    <t>Tall oil, dist., refined, truckload, bulk, works, frt. equaled.</t>
  </si>
  <si>
    <t>Tall oil, dist., unrefined, truckload, bulk, works, frt. equaled.</t>
  </si>
  <si>
    <t>Tartaric acid, NF 100 lb. bgs., f.o.b. plant</t>
  </si>
  <si>
    <t>Terephthalic acid, purified, t.t., t.c., f.o.b. works</t>
  </si>
  <si>
    <t>tert-Butyl alcohol, syn. tanks, dlvd. E.</t>
  </si>
  <si>
    <t>Tetraethylenepentamine, tanks, f.o.b.</t>
  </si>
  <si>
    <t>Tetrahydrofuran, dms., c.l., t.l., f.o.b. works, list</t>
  </si>
  <si>
    <t>Tetrahydrofuran, tanks, f.o.b. works, list</t>
  </si>
  <si>
    <t>Titanium dioxide, anatase, bgs., 20-ton lots, frt. alld.</t>
  </si>
  <si>
    <t>Titanium dioxide, rutile, reg. 20-ton lots, frt. alld.</t>
  </si>
  <si>
    <t>Titanium dioxide, rutile, slurry shipments 50-ton lots, dry basis, frt. alld.</t>
  </si>
  <si>
    <t>Toluene di-isocyanate, (mixed isomers), 80%, 2,4- and 20% 2,6-isomers jumbo tankcars, dlvd.</t>
  </si>
  <si>
    <t>Toluene, C-grade, US Gulf, spot f.o.b. barges</t>
  </si>
  <si>
    <t>Toluene, N-grade, US Gulf, spot f.o.b. barges</t>
  </si>
  <si>
    <t>Trichloroethylene, US Gulf, spot ex-tank</t>
  </si>
  <si>
    <t>Trichloroethylene, US Gulf, spot f.o.b. USG</t>
  </si>
  <si>
    <t>Triethylene glycol, tanks, f.o.b. Gulf</t>
  </si>
  <si>
    <t>Tripropylene glycol, tanks, f.o.b.</t>
  </si>
  <si>
    <t>Tung oil, tanks, imported</t>
  </si>
  <si>
    <t>Turpentine, crude sulfate tanks, f.o.b. Southeast work</t>
  </si>
  <si>
    <t>Urea, granular, US Gulf, spot f.o.b. USG</t>
  </si>
  <si>
    <t>Urea, prill, US Gulf, spot f.o.b. USG</t>
  </si>
  <si>
    <t>Vanillin, imported, China, FCC, c.i.f.</t>
  </si>
  <si>
    <t>Vanillin, USP dms, f.o.b. works</t>
  </si>
  <si>
    <t>Vetiver oil, Chinese, c.i.f.</t>
  </si>
  <si>
    <t>Vetiver oil, Indonesian, dms., c.f.r., Java</t>
  </si>
  <si>
    <t>Vinyl acetate monomer, US Gulf, contract list del.</t>
  </si>
  <si>
    <t>Vinyl acetate monomer, US Gulf, spot f.o.b., export</t>
  </si>
  <si>
    <t>Vinyl chloride monomer, US Gulf, spot f.o.b.</t>
  </si>
  <si>
    <t>Wheat germ oil, cold processed</t>
  </si>
  <si>
    <t>Xanthan gum, food 100lb dms., f.o.b. works</t>
  </si>
  <si>
    <t>Xanthan gum, ind. 100lb dms., f.o.b. works</t>
  </si>
  <si>
    <t>Xylenes, US Gulf, f.o.b. barges</t>
  </si>
  <si>
    <t>Xylenes, US Gulk, contract f.o.b.</t>
  </si>
  <si>
    <t>Zinc borate, tech. 50-lb bgs., 2,000-lb. min., f.o.b.</t>
  </si>
  <si>
    <t>Zinc chloride, tech drms., t.l., l.t.l., works 100lb</t>
  </si>
  <si>
    <t>Zinc chloride, tech., 50% soln., soln. 50% tanks, drms., t.l., l.t.l., works</t>
  </si>
  <si>
    <t>Zinc chromate, basic bgs., 2,000-lb. min., dlvd.</t>
  </si>
  <si>
    <t>Zinc sulfate, agricultral, powd. bulk, works</t>
  </si>
  <si>
    <t>Zinc sulfate, powder, powder t.l., works</t>
  </si>
  <si>
    <t>Metals price pulled from Spent Cat Library 09/2018</t>
  </si>
  <si>
    <t>Unprepared iron from https://www.cmcrecyclingindependence.com/current-pricing/</t>
  </si>
  <si>
    <t>CMC Recycling Independence</t>
  </si>
  <si>
    <t>Rubber-lined</t>
  </si>
  <si>
    <t>Carbon steel and Polypropylene wetted parts</t>
  </si>
  <si>
    <t>Classification for Sale or Landfill</t>
  </si>
  <si>
    <t>CatCost includes two methods for estimation of processing costs:</t>
  </si>
  <si>
    <t>Version:</t>
  </si>
  <si>
    <t>1.0.0</t>
  </si>
  <si>
    <t>CatCost Overview</t>
  </si>
  <si>
    <t>CatCost-calculated value</t>
  </si>
  <si>
    <t xml:space="preserve">   input values on the ultimate catalyst price) to be built into CatCost have already been</t>
  </si>
  <si>
    <t xml:space="preserve">   included in the current version.</t>
  </si>
  <si>
    <r>
      <t>&gt; At the top of most sheets in CatCost, the text "</t>
    </r>
    <r>
      <rPr>
        <sz val="12"/>
        <color rgb="FF800000"/>
        <rFont val="Calibri"/>
        <family val="2"/>
        <scheme val="minor"/>
      </rPr>
      <t>Show/Hide Sensitivity Inputs Using +/-</t>
    </r>
  </si>
  <si>
    <t>&gt; In some cases, CatCost-suggested low and high scenario values are pre-supplied.</t>
  </si>
  <si>
    <t>From CatCost "1 Inputs" Sheet</t>
  </si>
  <si>
    <t>CatCost</t>
  </si>
  <si>
    <t xml:space="preserve"> An Estimation Tool to Aid Commercialization and R&amp;D Decisions for Catalytic Materials</t>
  </si>
  <si>
    <t>Uses costs in $/hr for synthesis steps run at a contract manufacturer.</t>
  </si>
  <si>
    <t>estimate some steps of a synthesis using one method and some steps using the</t>
  </si>
  <si>
    <t>Step Method Inputs</t>
  </si>
  <si>
    <t>CapEx &amp; OpEx Factors Inputs</t>
  </si>
  <si>
    <r>
      <t xml:space="preserve">When compiling a catalyst estimate, </t>
    </r>
    <r>
      <rPr>
        <b/>
        <sz val="12"/>
        <color theme="1"/>
        <rFont val="Calibri"/>
        <family val="2"/>
        <scheme val="minor"/>
      </rPr>
      <t>the user may choose either method,</t>
    </r>
  </si>
  <si>
    <r>
      <rPr>
        <b/>
        <sz val="12"/>
        <color theme="1"/>
        <rFont val="Calibri"/>
        <family val="2"/>
        <scheme val="minor"/>
      </rPr>
      <t>complete both to compare them, or combine the two</t>
    </r>
    <r>
      <rPr>
        <sz val="12"/>
        <color theme="1"/>
        <rFont val="Calibri"/>
        <family val="2"/>
        <scheme val="minor"/>
      </rPr>
      <t xml:space="preserve"> (e.g. if the user wants to </t>
    </r>
  </si>
  <si>
    <t>other). The 5a Outputs sheet displays both separate outputs from each method</t>
  </si>
  <si>
    <t>and a combined output summary.</t>
  </si>
  <si>
    <r>
      <t xml:space="preserve">&gt; The </t>
    </r>
    <r>
      <rPr>
        <b/>
        <sz val="12"/>
        <color theme="1"/>
        <rFont val="Calibri"/>
        <family val="2"/>
        <scheme val="minor"/>
      </rPr>
      <t>Step Method</t>
    </r>
    <r>
      <rPr>
        <sz val="12"/>
        <color theme="1"/>
        <rFont val="Calibri"/>
        <family val="2"/>
        <scheme val="minor"/>
      </rPr>
      <t xml:space="preserve"> </t>
    </r>
    <r>
      <rPr>
        <i/>
        <sz val="12"/>
        <color theme="1"/>
        <rFont val="Calibri"/>
        <family val="2"/>
        <scheme val="minor"/>
      </rPr>
      <t>(3a only)</t>
    </r>
  </si>
  <si>
    <r>
      <t xml:space="preserve">&gt; The </t>
    </r>
    <r>
      <rPr>
        <b/>
        <sz val="12"/>
        <color theme="1"/>
        <rFont val="Calibri"/>
        <family val="2"/>
        <scheme val="minor"/>
      </rPr>
      <t>CapEx &amp; OpEx Factors</t>
    </r>
    <r>
      <rPr>
        <sz val="12"/>
        <color theme="1"/>
        <rFont val="Calibri"/>
        <family val="2"/>
        <scheme val="minor"/>
      </rPr>
      <t xml:space="preserve"> method </t>
    </r>
    <r>
      <rPr>
        <i/>
        <sz val="12"/>
        <color theme="1"/>
        <rFont val="Calibri"/>
        <family val="2"/>
        <scheme val="minor"/>
      </rPr>
      <t>(3b-3e)</t>
    </r>
  </si>
  <si>
    <t>Uses process design literature for a dedicated, new-build catalyst plant.</t>
  </si>
  <si>
    <t>Synthesis Campaign Size</t>
  </si>
  <si>
    <t>Total: Synthesis campaign length</t>
  </si>
  <si>
    <t>G&amp;A Overhead</t>
  </si>
  <si>
    <t>SARD Overhead</t>
  </si>
  <si>
    <t>Overhead and Selling Margin</t>
  </si>
  <si>
    <t>Processing Cost Estimation Methods</t>
  </si>
  <si>
    <t>General &amp; Administrative</t>
  </si>
  <si>
    <t>Cell Formatting Key</t>
  </si>
  <si>
    <t>Estimate Design Production Rate</t>
  </si>
  <si>
    <t>Scaling Input Specific to this Process Design/Template</t>
  </si>
  <si>
    <t>Production Rate for this Process Template</t>
  </si>
  <si>
    <t>Production Rate for this Process Template in CatCost Units</t>
  </si>
  <si>
    <t>General:</t>
  </si>
  <si>
    <t>Anderson, J. Determining Manufacturing Costs. Chemical Engineering Progress, January 2009, pp 27–31.</t>
  </si>
  <si>
    <t>Anderson, J. Communicating the Cost of Product and Process Development. Chemical Engineering Progress, February 2010, pp 46–51.</t>
  </si>
  <si>
    <t>Anderson, J. Calculate Financial Indicators to Guide Investments. Chemical Engineering Progress, September 2013, pp 34–40.</t>
  </si>
  <si>
    <t>Peters, M. S.; Timmerhaus, K. D. Plant Design and Economics for Chemical Engineers, 5th ed.; McGraw-Hill: New York, 2003.</t>
  </si>
  <si>
    <t>Desai, M. B. Chem. Eng., July 27, 1981, pp 65–70.</t>
  </si>
  <si>
    <t>Seider, W. D.; Lewin, D. R.; Seader, J. D.; Widagdo, S.; Gani, R.; Ng, K. M. Product and Process Design Principles: Synthesis, Analysis and Evaluation, 4th ed.; Wiley: Hoboken, NJ, 2016.</t>
  </si>
  <si>
    <t>Materials:</t>
  </si>
  <si>
    <t>Qi, W.; Sathre, R.; Morrow, W. R.; Shehabi, A. Unit price scaling trends for chemical products; LBNL-189844; LBNL: Berkeley, CA, 2015.</t>
  </si>
  <si>
    <t>http://www.icis.com/chemicals/channel-info-chemicals-a-z/</t>
  </si>
  <si>
    <t>ChemPPI:</t>
  </si>
  <si>
    <t>Spent Catalyst Value:</t>
  </si>
  <si>
    <t>Super, J. D. The Precious Metal Loop, Costs from an Operating Company Perspective. Top. Catal. 2010, 53, 1138–1141.</t>
  </si>
  <si>
    <t>Brown, T. R. Chem. Eng., August 2000, pp 86–89.</t>
  </si>
  <si>
    <t>Ward, T. J. Economic Evaluation. Kirk-Othmer Encyclopedia of Chemical Technology (online); Wiley: New York, 2001.</t>
  </si>
  <si>
    <t xml:space="preserve">Ulrich, G. D.; Vasudevan, P. T. Chemical Engineering Process Design and Economics, 2nd ed.; Process: Durham, New Hampshire, 2004. </t>
  </si>
  <si>
    <t>Towler, G.; Sinnott, R. K. Chemical Engineering Design – Principles, Practice, and Economics of Plant and Process Design, 2nd ed.; Butterworth-Heinemann: Amsterdam, 2013.</t>
  </si>
  <si>
    <t>Garrett, D. E. Chemical Engineering Economics; Van Nostrand-Reinhold: New York, 1989.</t>
  </si>
  <si>
    <t>Feng, Y.; Rangaiah, G. P. Evaluating Capital Cost Estimation Programs. Chem. Eng., August 2011, pp 22–29.</t>
  </si>
  <si>
    <t>Hand, W. E. Petroleum Refiner 1958, 37, 331.</t>
  </si>
  <si>
    <t>Guthrie, K. M. Data and Techniques for Preliminary Capital Cost Estimation. Chem. Eng., March 24, 2009, pp 114–142.</t>
  </si>
  <si>
    <t>Guthrie, K. M. Process Plant Estimating, Evaluation, and Control; Craftsman: Solano Beach, California, 1974.</t>
  </si>
  <si>
    <t>Lang, H. J. Chem. Eng. 1947, 54 (10), 117.</t>
  </si>
  <si>
    <t>Lang, H. J. Chem. Eng. 1948, 55 (6), 112–113.</t>
  </si>
  <si>
    <t>Step Method:</t>
  </si>
  <si>
    <t>Baddour, F. G.; Snowden-Swan, L.; Super, J. D.; Van Allsburg, K. M. Estimating Pre-Commercial Heterogeneous Catalyst Price: A Simple Step-Based Method. Org. Process Res. Dev. 2018, DOI: 10.1021/acs.oprd.8b00245.</t>
  </si>
  <si>
    <t>The U.S. Bureau of Labor Statistics Chemical Producer Price Index including data since 1984 may be accessed at http://data.bls.gov/cgi-bin/srgate under accession code PCU325---325---.</t>
  </si>
  <si>
    <t>CapEx &amp; OpEx Factors and Equipment Library:</t>
  </si>
  <si>
    <t>The CatCost software and data, if any, (“Software”) are provided by the National Renewable Energy Laboratory (“NREL”), which is operated by Alliance for Sustainable Energy, LLC (“ALLIANCE”), for the U.S. Department of Energy (“DOE”).</t>
  </si>
  <si>
    <t>Access to and use of this Software shall impose the following obligations on the user, and use of the Software constitutes user’s agreement to these terms. The Software is being provided, without any fee or cost, for internal, noncommercial purposes only and shall not be re-distributed. Please contact the NREL Technology Transfer Office at technology.transfer@nrel.gov for information concerning a commercial license to use the Software.</t>
  </si>
  <si>
    <t>The user agrees to credit DOE/NREL/ALLIANCE in any publication that results from the use of this Software.  The names DOE/NREL/ALLIANCE, however, may not be used in any advertising or publicity to endorse or promote any products or commercial entities unless specific written permission is obtained from DOE/NREL/ALLIANCE.  The user also understands that DOE/NREL/ALLIANCE is not obligated to provide the user with any support, consulting, training or assistance of any kind with regard to the use of the Software or to provide the user with any updates, revisions or new versions of the Software.</t>
  </si>
  <si>
    <t>USER AGREES TO INDEMNIFY DOE/NREL/ALLIANCE AND ITS SUBSIDIARIES, AFFILIATES, OFFICERS, AGENTS, AND EMPLOYEES AGAINST ANY CLAIM OR DEMAND, INCLUDING REASONABLE ATTORNEYS' FEES, RELATED TO USER’S USE OF THE SOFTWARE.  THE SOFTWARE IS PROVIDED BY DOE/NREL/ALLIANCE "AS IS," AND ANY EXPRESS OR IMPLIED WARRANTIES, INCLUDING BUT NOT LIMITED TO THE IMPLIED WARRANTIES OF MERCHANTABILITY AND FITNESS FOR A PARTICULAR PURPOSE ARE DISCLAIMED.  IN NO EVENT SHALL DOE/NREL/ALLIANCE BE LIABLE FOR ANY SPECIAL, INDIRECT OR CONSEQUENTIAL DAMAGES OR ANY DAMAGES WHATSOEVER, INCLUDING BUT NOT LIMITED TO CLAIMS ASSOCIATED WITH THE LOSS OF DATA OR PROFITS, THAT MAY RESULT FROM AN ACTION IN CONTRACT, NEGLIGENCE OR OTHER TORTIOUS CLAIM THAT ARISES OUT OF OR IN CONNECTION WITH THE ACCESS, USE OR PERFORMANCE OF THE SOFTWARE.</t>
  </si>
  <si>
    <t>Results generated by use of this Software are dependent on many variables, including the quality of the data entered by the user and any assumptions made by the user in relation to data inputs.  Accordingly, DOE, NREL, and ALLIANCE cannot guarantee any results generated by use of the Software and user is entirely responsible for the results and any reliance on the results.  User shall not claim that DOE/NREL/ALLIANCE authenticate or otherwise agree with the results generated by the Software.</t>
  </si>
  <si>
    <r>
      <t xml:space="preserve">&gt; In general, it is best to </t>
    </r>
    <r>
      <rPr>
        <b/>
        <sz val="12"/>
        <color rgb="FF000000"/>
        <rFont val="Calibri"/>
        <family val="2"/>
        <scheme val="minor"/>
      </rPr>
      <t>proceed from left to right (1 to 5)</t>
    </r>
    <r>
      <rPr>
        <sz val="12"/>
        <color rgb="FF000000"/>
        <rFont val="Calibri"/>
        <family val="2"/>
        <scheme val="minor"/>
      </rPr>
      <t xml:space="preserve"> through these sheets when constructing an estimate, as later sheets depend on the output of</t>
    </r>
  </si>
  <si>
    <t xml:space="preserve">   earlier sheets.</t>
  </si>
  <si>
    <r>
      <t xml:space="preserve">&gt; The meaning of the </t>
    </r>
    <r>
      <rPr>
        <b/>
        <sz val="12"/>
        <color rgb="FF000000"/>
        <rFont val="Calibri"/>
        <family val="2"/>
        <scheme val="minor"/>
      </rPr>
      <t>color formatting</t>
    </r>
    <r>
      <rPr>
        <sz val="12"/>
        <color rgb="FF000000"/>
        <rFont val="Calibri"/>
        <family val="2"/>
        <scheme val="minor"/>
      </rPr>
      <t xml:space="preserve"> currently in use in CatCost is given in the formatting key below. In general, cells designed for user input are colored</t>
    </r>
  </si>
  <si>
    <t xml:space="preserve">   red (when empty) or white (when complete), while CatCost-calculated cells that should not be modified and inactive inputs are grey.</t>
  </si>
  <si>
    <t>References</t>
  </si>
  <si>
    <t>Disclaimer</t>
  </si>
  <si>
    <t>In this sheet</t>
  </si>
  <si>
    <t>&gt; To download the pdf documentation with complete instructions and explanation of methods, tutorials, version updates, and the web version of CatCost,</t>
  </si>
  <si>
    <r>
      <t xml:space="preserve">&gt; CatCost (formerly the Catalyst Cost Model) is organized into </t>
    </r>
    <r>
      <rPr>
        <b/>
        <sz val="12"/>
        <color rgb="FF000000"/>
        <rFont val="Calibri"/>
        <family val="2"/>
        <scheme val="minor"/>
      </rPr>
      <t>sequential sheets/modules</t>
    </r>
    <r>
      <rPr>
        <sz val="12"/>
        <color rgb="FF000000"/>
        <rFont val="Calibri"/>
        <family val="2"/>
        <scheme val="minor"/>
      </rPr>
      <t xml:space="preserve"> that each cover a component of a catalyst cost estimate.</t>
    </r>
  </si>
  <si>
    <r>
      <t xml:space="preserve">   visit </t>
    </r>
    <r>
      <rPr>
        <b/>
        <sz val="12"/>
        <color theme="9" tint="-0.249977111117893"/>
        <rFont val="Calibri (Body)_x0000_"/>
      </rPr>
      <t>catcost.chemcatbio.org</t>
    </r>
    <r>
      <rPr>
        <sz val="12"/>
        <color rgb="FF000000"/>
        <rFont val="Calibri"/>
        <family val="2"/>
        <scheme val="minor"/>
      </rPr>
      <t xml:space="preserve">. To contact the developers email </t>
    </r>
    <r>
      <rPr>
        <b/>
        <sz val="12"/>
        <color theme="9" tint="-0.249977111117893"/>
        <rFont val="Calibri (Body)_x0000_"/>
      </rPr>
      <t>catcost@nrel.gov</t>
    </r>
    <r>
      <rPr>
        <sz val="12"/>
        <color rgb="FF000000"/>
        <rFont val="Calibri"/>
        <family val="2"/>
        <scheme val="minor"/>
      </rPr>
      <t>.</t>
    </r>
  </si>
  <si>
    <t>Website and email address</t>
  </si>
  <si>
    <t>Green, D. W.; Perry, R. H. Perry's Chemical Engineers' Handbook, 8th ed.; McGraw-Hill: New York, 2008.</t>
  </si>
  <si>
    <r>
      <t xml:space="preserve">&gt; Some sheets have been protected but there is </t>
    </r>
    <r>
      <rPr>
        <b/>
        <sz val="12"/>
        <color rgb="FF000000"/>
        <rFont val="Calibri"/>
        <family val="2"/>
        <scheme val="minor"/>
      </rPr>
      <t>no password</t>
    </r>
    <r>
      <rPr>
        <sz val="12"/>
        <color rgb="FF000000"/>
        <rFont val="Calibri"/>
        <family val="2"/>
        <scheme val="minor"/>
      </rPr>
      <t xml:space="preserve"> if you want to tinker.</t>
    </r>
  </si>
  <si>
    <t>Synthesis Costs</t>
  </si>
  <si>
    <t>Sales, Admin., Research, Distrib.</t>
  </si>
  <si>
    <t>Subtotal</t>
  </si>
  <si>
    <t>Overheads</t>
  </si>
  <si>
    <t>[Subtotal excluding PGM]</t>
  </si>
  <si>
    <t>Overheads (excluding PGM)</t>
  </si>
  <si>
    <t>Overheads and Margin</t>
  </si>
  <si>
    <t>Total Overheads and Margin</t>
  </si>
  <si>
    <t>Annual, Monthly, Weekly, Daily Cost?</t>
  </si>
  <si>
    <t>Order Size</t>
  </si>
  <si>
    <t>tons</t>
  </si>
  <si>
    <t>Total Margin</t>
  </si>
  <si>
    <t>Step Method Scale</t>
  </si>
  <si>
    <t>CapEx&amp; OpEx Factors Scale</t>
  </si>
  <si>
    <t>Processing Costs via Step Method</t>
  </si>
  <si>
    <t>Step Method Total</t>
  </si>
  <si>
    <t>Capital Costs via CapEx &amp; OpEx Factors</t>
  </si>
  <si>
    <t>Operating Costs via CapEx &amp; OpEx Factors</t>
  </si>
  <si>
    <t>Selling Margin for CapEx &amp; OpEx Factors</t>
  </si>
  <si>
    <t>CapEx Total</t>
  </si>
  <si>
    <t>OpEx Total</t>
  </si>
  <si>
    <t>Total Margin for CapEx &amp; OpEx</t>
  </si>
  <si>
    <r>
      <t xml:space="preserve">Note: </t>
    </r>
    <r>
      <rPr>
        <sz val="12"/>
        <color theme="1"/>
        <rFont val="Calibri"/>
        <family val="2"/>
        <scheme val="minor"/>
      </rPr>
      <t>When using the combined outputs (both Step Method and CapEx &amp; OpEx Factors, make sure that no steps have been entered in both methods, or this will result in</t>
    </r>
    <r>
      <rPr>
        <b/>
        <sz val="12"/>
        <color theme="1"/>
        <rFont val="Calibri"/>
        <family val="2"/>
        <scheme val="minor"/>
      </rPr>
      <t xml:space="preserve"> </t>
    </r>
    <r>
      <rPr>
        <sz val="12"/>
        <color theme="1"/>
        <rFont val="Calibri"/>
        <family val="2"/>
        <scheme val="minor"/>
      </rPr>
      <t>double-counting,</t>
    </r>
    <r>
      <rPr>
        <b/>
        <sz val="12"/>
        <color theme="1"/>
        <rFont val="Calibri"/>
        <family val="2"/>
        <scheme val="minor"/>
      </rPr>
      <t xml:space="preserve"> overestimating the price of the material.</t>
    </r>
  </si>
  <si>
    <t>CatCost Step Method Estimate:</t>
  </si>
  <si>
    <t xml:space="preserve">CatCost CapEx &amp; OpEx Factors Estimate: </t>
  </si>
  <si>
    <t xml:space="preserve">CatCost Combined Methods Estimate: </t>
  </si>
  <si>
    <t>ROI</t>
  </si>
  <si>
    <t>Principal Investigator:</t>
  </si>
  <si>
    <t>Frederick G. Baddour (NREL)</t>
  </si>
  <si>
    <t>Co-Principal Investigator:</t>
  </si>
  <si>
    <t>Lesley Snowden-Swan (PNNL)</t>
  </si>
  <si>
    <t>Development Lead:</t>
  </si>
  <si>
    <t>Kurt M. Van Allsburg (NREL)</t>
  </si>
  <si>
    <t>John Super, Eric Tan, John Frye, James White, Joshua Schaidle, Michael Talmadge, Jesse Hensley, Susan Habas</t>
  </si>
  <si>
    <t>Contributors:</t>
  </si>
  <si>
    <t>Nicholas Wunder, Kenny Gruchalla, John Yarbrough, Kristi Potter, Matt Jankousky</t>
  </si>
  <si>
    <t>Web Tool Development:</t>
  </si>
  <si>
    <t>Development Team</t>
  </si>
  <si>
    <t>year</t>
  </si>
  <si>
    <t>Other Materials</t>
  </si>
  <si>
    <t>FCC RE USY</t>
  </si>
  <si>
    <t>Sodium silicate 41 BE</t>
  </si>
  <si>
    <t>Al(OH)3</t>
  </si>
  <si>
    <t>NaOH 50%</t>
  </si>
  <si>
    <t>H2SO4 98%</t>
  </si>
  <si>
    <t>La2O3</t>
  </si>
  <si>
    <t>HCl 31%</t>
  </si>
  <si>
    <t>NH4OH 28%</t>
  </si>
  <si>
    <t>John Super</t>
  </si>
  <si>
    <t>Scaling to Estimate Design Production Rate</t>
  </si>
  <si>
    <t>Inputs at Process Template Production Rate</t>
  </si>
  <si>
    <t>Pumps, blowers, etc</t>
  </si>
  <si>
    <t>John's target, %</t>
  </si>
  <si>
    <r>
      <t xml:space="preserve">percentages are based on major equip </t>
    </r>
    <r>
      <rPr>
        <i/>
        <sz val="12"/>
        <color theme="1"/>
        <rFont val="Calibri"/>
        <family val="2"/>
        <scheme val="minor"/>
      </rPr>
      <t>not</t>
    </r>
    <r>
      <rPr>
        <sz val="12"/>
        <color theme="1"/>
        <rFont val="Calibri"/>
        <family val="2"/>
        <scheme val="minor"/>
      </rPr>
      <t xml:space="preserve"> incl cooling towers</t>
    </r>
  </si>
  <si>
    <t>OSBL</t>
  </si>
  <si>
    <t>purch</t>
  </si>
  <si>
    <t>installed</t>
  </si>
  <si>
    <t>aux a (20%)</t>
  </si>
  <si>
    <t>aux b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</si>
</sst>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44" formatCode="_(&quot;$&quot;* #,##0.00_);_(&quot;$&quot;* \(#,##0.00\);_(&quot;$&quot;* &quot;-&quot;??_);_(@_)"/>
    <numFmt numFmtId="43" formatCode="_(* #,##0.00_);_(* \(#,##0.00\);_(* &quot;-&quot;??_);_(@_)"/>
    <numFmt numFmtId="164" formatCode="#0.0"/>
    <numFmt numFmtId="165" formatCode="0.0"/>
    <numFmt numFmtId="166" formatCode="_(* #,##0.0000_);_(* \(#,##0.0000\);_(* &quot;-&quot;??_);_(@_)"/>
    <numFmt numFmtId="167" formatCode="_(* #,##0_);_(* \(#,##0\);_(* &quot;-&quot;??_);_(@_)"/>
    <numFmt numFmtId="168" formatCode="#,##0.0000"/>
    <numFmt numFmtId="169" formatCode="0.0\ \ \ \ \ "/>
    <numFmt numFmtId="170" formatCode="_(&quot;$&quot;* #,##0_)\ \ \ \ ;_(&quot;$&quot;* \(#,##0\);_(&quot;$&quot;* &quot;-&quot;??_);_(@_)"/>
    <numFmt numFmtId="171" formatCode="_(&quot;$&quot;* #,##0_);_(&quot;$&quot;* \(#,##0\);_(&quot;$&quot;* &quot;-&quot;??_);_(@_)"/>
    <numFmt numFmtId="172" formatCode="0.000"/>
  </numFmts>
  <fonts count="67">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12"/>
      <color rgb="FF9C000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b/>
      <sz val="12"/>
      <color indexed="8"/>
      <name val="Arial"/>
      <family val="2"/>
    </font>
    <font>
      <b/>
      <sz val="10"/>
      <color indexed="8"/>
      <name val="Arial"/>
      <family val="2"/>
    </font>
    <font>
      <sz val="10"/>
      <color indexed="8"/>
      <name val="Arial"/>
      <family val="2"/>
    </font>
    <font>
      <sz val="11"/>
      <color indexed="8"/>
      <name val="Calibri"/>
      <family val="2"/>
      <scheme val="minor"/>
    </font>
    <font>
      <sz val="12"/>
      <name val="Calibri"/>
      <family val="2"/>
      <scheme val="minor"/>
    </font>
    <font>
      <b/>
      <u/>
      <sz val="12"/>
      <color theme="1"/>
      <name val="Calibri"/>
      <family val="2"/>
      <scheme val="minor"/>
    </font>
    <font>
      <sz val="12"/>
      <color rgb="FFFF0000"/>
      <name val="Calibri"/>
      <family val="2"/>
      <scheme val="minor"/>
    </font>
    <font>
      <sz val="9"/>
      <color indexed="81"/>
      <name val="Calibri"/>
      <family val="2"/>
    </font>
    <font>
      <b/>
      <sz val="9"/>
      <color indexed="81"/>
      <name val="Calibri"/>
      <family val="2"/>
    </font>
    <font>
      <sz val="11"/>
      <color theme="1"/>
      <name val="Calibri"/>
      <family val="2"/>
      <scheme val="minor"/>
    </font>
    <font>
      <sz val="12"/>
      <color rgb="FF000000"/>
      <name val="Calibri"/>
      <family val="2"/>
      <scheme val="minor"/>
    </font>
    <font>
      <b/>
      <sz val="12"/>
      <color rgb="FFFF0000"/>
      <name val="Calibri"/>
      <family val="2"/>
      <scheme val="minor"/>
    </font>
    <font>
      <sz val="12"/>
      <color theme="1" tint="0.34998626667073579"/>
      <name val="Calibri"/>
      <family val="2"/>
      <scheme val="minor"/>
    </font>
    <font>
      <b/>
      <i/>
      <sz val="16"/>
      <color theme="1"/>
      <name val="Arial"/>
      <family val="2"/>
    </font>
    <font>
      <sz val="12"/>
      <color rgb="FF800000"/>
      <name val="Calibri"/>
      <family val="2"/>
      <scheme val="minor"/>
    </font>
    <font>
      <b/>
      <sz val="12"/>
      <color rgb="FF800000"/>
      <name val="Calibri"/>
      <family val="2"/>
      <scheme val="minor"/>
    </font>
    <font>
      <b/>
      <sz val="12"/>
      <color rgb="FF000000"/>
      <name val="Calibri"/>
      <family val="2"/>
      <scheme val="minor"/>
    </font>
    <font>
      <b/>
      <sz val="12"/>
      <name val="Calibri"/>
      <family val="2"/>
      <scheme val="minor"/>
    </font>
    <font>
      <b/>
      <sz val="14"/>
      <color theme="1"/>
      <name val="Calibri"/>
      <family val="2"/>
      <scheme val="minor"/>
    </font>
    <font>
      <b/>
      <u/>
      <sz val="14"/>
      <color theme="1"/>
      <name val="Calibri"/>
      <family val="2"/>
      <scheme val="minor"/>
    </font>
    <font>
      <b/>
      <i/>
      <sz val="14"/>
      <color theme="1"/>
      <name val="Calibri"/>
      <family val="2"/>
      <scheme val="minor"/>
    </font>
    <font>
      <i/>
      <sz val="12"/>
      <color theme="1"/>
      <name val="Calibri"/>
      <family val="2"/>
      <scheme val="minor"/>
    </font>
    <font>
      <b/>
      <i/>
      <sz val="16"/>
      <color theme="8" tint="-0.499984740745262"/>
      <name val="Arial"/>
      <family val="2"/>
    </font>
    <font>
      <b/>
      <i/>
      <u/>
      <sz val="16"/>
      <color rgb="FF215967"/>
      <name val="Arial"/>
      <family val="2"/>
    </font>
    <font>
      <b/>
      <i/>
      <sz val="16"/>
      <color rgb="FF215967"/>
      <name val="Arial"/>
      <family val="2"/>
    </font>
    <font>
      <b/>
      <i/>
      <sz val="16"/>
      <color rgb="FF000000"/>
      <name val="Arial"/>
      <family val="2"/>
    </font>
    <font>
      <b/>
      <i/>
      <sz val="12"/>
      <color theme="3"/>
      <name val="Calibri"/>
      <family val="2"/>
      <scheme val="minor"/>
    </font>
    <font>
      <b/>
      <sz val="12"/>
      <color theme="5"/>
      <name val="Calibri"/>
      <family val="2"/>
      <scheme val="minor"/>
    </font>
    <font>
      <sz val="12"/>
      <color theme="9" tint="-0.249977111117893"/>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u/>
      <sz val="12"/>
      <color rgb="FF0432FF"/>
      <name val="Calibri"/>
      <family val="2"/>
      <scheme val="minor"/>
    </font>
    <font>
      <u/>
      <sz val="12"/>
      <color rgb="FF0000FF"/>
      <name val="Calibri"/>
      <family val="2"/>
    </font>
    <font>
      <sz val="12"/>
      <color rgb="FF000000"/>
      <name val="Calibri"/>
      <family val="2"/>
    </font>
    <font>
      <sz val="12"/>
      <color rgb="FF810D00"/>
      <name val="Calibri"/>
      <family val="2"/>
      <scheme val="minor"/>
    </font>
    <font>
      <b/>
      <sz val="12"/>
      <color rgb="FF810D00"/>
      <name val="Calibri"/>
      <family val="2"/>
      <scheme val="minor"/>
    </font>
    <font>
      <sz val="10"/>
      <color indexed="8"/>
      <name val="Arial"/>
      <family val="2"/>
    </font>
    <font>
      <sz val="11"/>
      <color rgb="FF000000"/>
      <name val="Calibri"/>
      <family val="2"/>
    </font>
    <font>
      <sz val="10"/>
      <color rgb="FF000000"/>
      <name val="Calibri"/>
      <family val="2"/>
    </font>
    <font>
      <i/>
      <sz val="10"/>
      <color rgb="FF000000"/>
      <name val="Calibri"/>
      <family val="2"/>
    </font>
    <font>
      <sz val="12"/>
      <color theme="1"/>
      <name val="Calibri (Body)_x0000_"/>
    </font>
    <font>
      <sz val="10"/>
      <color rgb="FF000000"/>
      <name val="Calibri"/>
      <family val="2"/>
      <scheme val="minor"/>
    </font>
    <font>
      <sz val="12"/>
      <color theme="5" tint="0.39997558519241921"/>
      <name val="Calibri"/>
      <family val="2"/>
      <scheme val="minor"/>
    </font>
    <font>
      <b/>
      <sz val="12"/>
      <color theme="5" tint="0.39997558519241921"/>
      <name val="Calibri"/>
      <family val="2"/>
      <scheme val="minor"/>
    </font>
    <font>
      <sz val="12"/>
      <color theme="0" tint="-0.14999847407452621"/>
      <name val="Calibri"/>
      <family val="2"/>
      <scheme val="minor"/>
    </font>
    <font>
      <sz val="12"/>
      <color theme="8" tint="-0.249977111117893"/>
      <name val="Calibri (Body)_x0000_"/>
    </font>
    <font>
      <sz val="12"/>
      <color theme="8" tint="-0.249977111117893"/>
      <name val="Calibri"/>
      <family val="2"/>
      <scheme val="minor"/>
    </font>
    <font>
      <sz val="12"/>
      <name val="Calibri"/>
      <family val="2"/>
      <scheme val="minor"/>
    </font>
    <font>
      <b/>
      <sz val="24"/>
      <color theme="9" tint="-0.249977111117893"/>
      <name val="Helvetica"/>
      <family val="2"/>
    </font>
    <font>
      <sz val="10"/>
      <color rgb="FF000000"/>
      <name val="Tahoma"/>
      <family val="34"/>
    </font>
    <font>
      <b/>
      <sz val="14"/>
      <color theme="9" tint="-0.249977111117893"/>
      <name val="Arial"/>
      <family val="2"/>
    </font>
    <font>
      <b/>
      <sz val="14"/>
      <color rgb="FF215967"/>
      <name val="Arial"/>
      <family val="2"/>
    </font>
    <font>
      <b/>
      <sz val="12"/>
      <color theme="9" tint="-0.249977111117893"/>
      <name val="Calibri (Body)_x0000_"/>
    </font>
    <font>
      <sz val="12"/>
      <name val="Calibri"/>
      <family val="2"/>
      <scheme val="minor"/>
    </font>
  </fonts>
  <fills count="12">
    <fill>
      <patternFill patternType="none"/>
    </fill>
    <fill>
      <patternFill patternType="gray125"/>
    </fill>
    <fill>
      <patternFill patternType="solid">
        <fgColor rgb="FFFFC7CE"/>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DAEEF3"/>
        <bgColor rgb="FF000000"/>
      </patternFill>
    </fill>
    <fill>
      <patternFill patternType="solid">
        <fgColor rgb="FFD9D9D9"/>
        <bgColor rgb="FF000000"/>
      </patternFill>
    </fill>
    <fill>
      <patternFill patternType="solid">
        <fgColor theme="0" tint="-0.14999847407452621"/>
        <bgColor rgb="FF000000"/>
      </patternFill>
    </fill>
  </fills>
  <borders count="41">
    <border>
      <left/>
      <right/>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right/>
      <top/>
      <bottom style="thick">
        <color auto="1"/>
      </bottom>
      <diagonal/>
    </border>
    <border>
      <left/>
      <right style="thin">
        <color theme="0"/>
      </right>
      <top/>
      <bottom/>
      <diagonal/>
    </border>
    <border>
      <left style="thin">
        <color theme="0"/>
      </left>
      <right style="thin">
        <color theme="0"/>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FF0000"/>
      </left>
      <right style="thin">
        <color rgb="FFFF0000"/>
      </right>
      <top style="thin">
        <color rgb="FFFF0000"/>
      </top>
      <bottom style="thin">
        <color rgb="FFFF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thin">
        <color auto="1"/>
      </top>
      <bottom style="double">
        <color auto="1"/>
      </bottom>
      <diagonal/>
    </border>
    <border>
      <left/>
      <right style="medium">
        <color rgb="FF000000"/>
      </right>
      <top/>
      <bottom/>
      <diagonal/>
    </border>
    <border>
      <left/>
      <right style="medium">
        <color rgb="FF000000"/>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dashed">
        <color auto="1"/>
      </bottom>
      <diagonal/>
    </border>
    <border>
      <left/>
      <right/>
      <top style="thin">
        <color rgb="FF215967"/>
      </top>
      <bottom style="thin">
        <color rgb="FF215967"/>
      </bottom>
      <diagonal/>
    </border>
  </borders>
  <cellStyleXfs count="73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0" fillId="0" borderId="0">
      <alignment vertical="center"/>
    </xf>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4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441">
    <xf numFmtId="0" fontId="0" fillId="0" borderId="0" xfId="0"/>
    <xf numFmtId="0" fontId="0" fillId="0" borderId="0" xfId="0" applyFont="1"/>
    <xf numFmtId="0" fontId="12" fillId="0" borderId="0" xfId="0" applyFont="1" applyFill="1" applyAlignment="1">
      <alignment horizontal="left" vertical="top" wrapText="1"/>
    </xf>
    <xf numFmtId="0" fontId="12" fillId="0" borderId="7" xfId="0" applyFont="1" applyFill="1" applyBorder="1" applyAlignment="1">
      <alignment horizontal="center" wrapText="1"/>
    </xf>
    <xf numFmtId="0" fontId="12" fillId="0" borderId="0" xfId="0" applyFont="1" applyFill="1" applyAlignment="1">
      <alignment horizontal="left"/>
    </xf>
    <xf numFmtId="164" fontId="13" fillId="0" borderId="0" xfId="0" applyNumberFormat="1" applyFont="1" applyFill="1" applyAlignment="1">
      <alignment horizontal="right"/>
    </xf>
    <xf numFmtId="165" fontId="9" fillId="0" borderId="0" xfId="0" applyNumberFormat="1" applyFont="1"/>
    <xf numFmtId="43" fontId="0" fillId="0" borderId="0" xfId="58" applyFont="1"/>
    <xf numFmtId="1" fontId="0" fillId="0" borderId="0" xfId="0" applyNumberFormat="1"/>
    <xf numFmtId="0" fontId="0" fillId="0" borderId="0" xfId="0" quotePrefix="1"/>
    <xf numFmtId="0" fontId="0" fillId="5" borderId="0" xfId="0" applyFill="1"/>
    <xf numFmtId="0" fontId="0" fillId="6" borderId="0" xfId="0" applyFill="1"/>
    <xf numFmtId="0" fontId="0" fillId="0" borderId="0" xfId="0"/>
    <xf numFmtId="0" fontId="0" fillId="5" borderId="11" xfId="0" applyFill="1" applyBorder="1"/>
    <xf numFmtId="0" fontId="0" fillId="5" borderId="12" xfId="0" applyFill="1" applyBorder="1"/>
    <xf numFmtId="0" fontId="0" fillId="5" borderId="13" xfId="0" applyFill="1" applyBorder="1"/>
    <xf numFmtId="0" fontId="0" fillId="5" borderId="14" xfId="0" applyFill="1" applyBorder="1"/>
    <xf numFmtId="0" fontId="16" fillId="5" borderId="0" xfId="0" applyFont="1" applyFill="1" applyBorder="1"/>
    <xf numFmtId="0" fontId="0" fillId="5" borderId="0" xfId="0" applyFill="1" applyBorder="1"/>
    <xf numFmtId="0" fontId="0" fillId="5" borderId="15" xfId="0" applyFill="1" applyBorder="1"/>
    <xf numFmtId="0" fontId="9" fillId="5" borderId="0" xfId="0" applyFont="1" applyFill="1" applyBorder="1"/>
    <xf numFmtId="0" fontId="0" fillId="5" borderId="16" xfId="0" applyFill="1" applyBorder="1"/>
    <xf numFmtId="0" fontId="0" fillId="5" borderId="17" xfId="0" applyFill="1" applyBorder="1"/>
    <xf numFmtId="0" fontId="0" fillId="5" borderId="18" xfId="0" applyFill="1" applyBorder="1"/>
    <xf numFmtId="14" fontId="0" fillId="0" borderId="0" xfId="0" applyNumberFormat="1"/>
    <xf numFmtId="0" fontId="15" fillId="0" borderId="0" xfId="0" applyFont="1"/>
    <xf numFmtId="0" fontId="0" fillId="0" borderId="0" xfId="0"/>
    <xf numFmtId="0" fontId="17" fillId="0" borderId="0" xfId="0" applyFont="1"/>
    <xf numFmtId="11" fontId="17" fillId="0" borderId="0" xfId="0" applyNumberFormat="1" applyFont="1"/>
    <xf numFmtId="0" fontId="0" fillId="0" borderId="0" xfId="0"/>
    <xf numFmtId="0" fontId="0" fillId="0" borderId="0" xfId="0"/>
    <xf numFmtId="0" fontId="21" fillId="0" borderId="0" xfId="0" applyFont="1"/>
    <xf numFmtId="0" fontId="0" fillId="5" borderId="14" xfId="0" applyFont="1" applyFill="1" applyBorder="1"/>
    <xf numFmtId="0" fontId="0" fillId="5" borderId="0" xfId="0" applyFont="1" applyFill="1" applyBorder="1"/>
    <xf numFmtId="0" fontId="0" fillId="5" borderId="15" xfId="0" applyFont="1" applyFill="1" applyBorder="1"/>
    <xf numFmtId="0" fontId="0" fillId="5" borderId="0" xfId="0" applyFont="1" applyFill="1" applyBorder="1" applyAlignment="1">
      <alignment horizontal="right"/>
    </xf>
    <xf numFmtId="0" fontId="0" fillId="5" borderId="0" xfId="0" applyFont="1" applyFill="1"/>
    <xf numFmtId="0" fontId="6" fillId="5" borderId="0" xfId="0" applyFont="1" applyFill="1" applyBorder="1" applyAlignment="1">
      <alignment horizontal="right"/>
    </xf>
    <xf numFmtId="11" fontId="0" fillId="5" borderId="0" xfId="0" applyNumberFormat="1" applyFont="1" applyFill="1" applyBorder="1"/>
    <xf numFmtId="0" fontId="0" fillId="5" borderId="16" xfId="0" applyFont="1" applyFill="1" applyBorder="1"/>
    <xf numFmtId="0" fontId="0" fillId="5" borderId="17" xfId="0" applyFont="1" applyFill="1" applyBorder="1"/>
    <xf numFmtId="0" fontId="0" fillId="5" borderId="18" xfId="0" applyFont="1" applyFill="1" applyBorder="1"/>
    <xf numFmtId="0" fontId="22" fillId="6" borderId="19" xfId="0" applyFont="1" applyFill="1" applyBorder="1" applyAlignment="1">
      <alignment horizontal="center"/>
    </xf>
    <xf numFmtId="0" fontId="0" fillId="6" borderId="10" xfId="0" applyFont="1" applyFill="1" applyBorder="1" applyAlignment="1">
      <alignment horizontal="right"/>
    </xf>
    <xf numFmtId="11" fontId="0" fillId="6" borderId="20" xfId="0" applyNumberFormat="1" applyFont="1" applyFill="1" applyBorder="1" applyAlignment="1">
      <alignment horizontal="right"/>
    </xf>
    <xf numFmtId="0" fontId="0" fillId="6" borderId="20" xfId="0" applyFont="1" applyFill="1" applyBorder="1" applyAlignment="1">
      <alignment horizontal="right"/>
    </xf>
    <xf numFmtId="0" fontId="0" fillId="0" borderId="0" xfId="0"/>
    <xf numFmtId="0" fontId="23" fillId="5" borderId="22" xfId="0" applyFont="1" applyFill="1" applyBorder="1"/>
    <xf numFmtId="0" fontId="23" fillId="5" borderId="0" xfId="0" applyFont="1" applyFill="1" applyBorder="1"/>
    <xf numFmtId="11" fontId="23" fillId="5" borderId="0" xfId="0" applyNumberFormat="1" applyFont="1" applyFill="1" applyBorder="1" applyAlignment="1">
      <alignment horizontal="right"/>
    </xf>
    <xf numFmtId="0" fontId="0" fillId="6" borderId="0" xfId="0" applyFont="1" applyFill="1"/>
    <xf numFmtId="0" fontId="23" fillId="5" borderId="0" xfId="0" applyFont="1" applyFill="1" applyBorder="1" applyAlignment="1">
      <alignment horizontal="right"/>
    </xf>
    <xf numFmtId="0" fontId="24" fillId="5" borderId="0" xfId="0" applyFont="1" applyFill="1" applyBorder="1" applyAlignment="1">
      <alignment horizontal="center"/>
    </xf>
    <xf numFmtId="0" fontId="24" fillId="5" borderId="15" xfId="0" applyFont="1" applyFill="1" applyBorder="1" applyAlignment="1">
      <alignment horizontal="center"/>
    </xf>
    <xf numFmtId="166" fontId="23" fillId="5" borderId="0" xfId="58" applyNumberFormat="1" applyFont="1" applyFill="1" applyBorder="1" applyAlignment="1">
      <alignment horizontal="right"/>
    </xf>
    <xf numFmtId="0" fontId="0" fillId="6" borderId="0" xfId="0" applyFill="1" applyBorder="1"/>
    <xf numFmtId="0" fontId="0" fillId="6" borderId="20" xfId="0" applyFill="1" applyBorder="1"/>
    <xf numFmtId="0" fontId="25" fillId="5" borderId="0" xfId="0" applyFont="1" applyFill="1" applyBorder="1" applyAlignment="1">
      <alignment horizontal="center"/>
    </xf>
    <xf numFmtId="0" fontId="23" fillId="5" borderId="31" xfId="0" applyFont="1" applyFill="1" applyBorder="1"/>
    <xf numFmtId="11" fontId="25" fillId="6" borderId="21" xfId="0" applyNumberFormat="1" applyFont="1" applyFill="1" applyBorder="1"/>
    <xf numFmtId="0" fontId="25" fillId="6" borderId="21" xfId="0" applyFont="1" applyFill="1" applyBorder="1"/>
    <xf numFmtId="0" fontId="23" fillId="5" borderId="30" xfId="0" applyFont="1" applyFill="1" applyBorder="1"/>
    <xf numFmtId="0" fontId="0" fillId="5" borderId="32" xfId="0" applyFill="1" applyBorder="1"/>
    <xf numFmtId="0" fontId="0" fillId="5" borderId="33" xfId="0" applyFill="1" applyBorder="1"/>
    <xf numFmtId="0" fontId="9" fillId="5" borderId="0" xfId="0" applyFont="1" applyFill="1" applyBorder="1" applyAlignment="1">
      <alignment horizontal="center"/>
    </xf>
    <xf numFmtId="0" fontId="26" fillId="5" borderId="0" xfId="0" applyFont="1" applyFill="1" applyBorder="1" applyAlignment="1">
      <alignment horizontal="center"/>
    </xf>
    <xf numFmtId="43" fontId="0" fillId="5" borderId="0" xfId="0" applyNumberFormat="1" applyFill="1" applyBorder="1" applyAlignment="1">
      <alignment horizontal="center"/>
    </xf>
    <xf numFmtId="0" fontId="0" fillId="5" borderId="17" xfId="0" applyFill="1" applyBorder="1" applyAlignment="1">
      <alignment horizontal="center"/>
    </xf>
    <xf numFmtId="0" fontId="24" fillId="5" borderId="11" xfId="0" applyFont="1" applyFill="1" applyBorder="1"/>
    <xf numFmtId="0" fontId="0" fillId="6" borderId="20" xfId="0" applyFill="1" applyBorder="1" applyAlignment="1">
      <alignment horizontal="center"/>
    </xf>
    <xf numFmtId="0" fontId="0" fillId="6" borderId="21" xfId="0" applyFill="1" applyBorder="1" applyAlignment="1">
      <alignment horizontal="center"/>
    </xf>
    <xf numFmtId="2" fontId="0" fillId="6" borderId="21" xfId="0" applyNumberFormat="1" applyFill="1" applyBorder="1" applyAlignment="1">
      <alignment horizontal="right"/>
    </xf>
    <xf numFmtId="0" fontId="25" fillId="6" borderId="21" xfId="0" applyFont="1" applyFill="1" applyBorder="1" applyAlignment="1">
      <alignment horizontal="right"/>
    </xf>
    <xf numFmtId="0" fontId="0" fillId="5" borderId="0" xfId="0" applyFill="1" applyBorder="1" applyAlignment="1">
      <alignment horizontal="center"/>
    </xf>
    <xf numFmtId="0" fontId="0" fillId="6" borderId="22" xfId="0" applyFill="1" applyBorder="1" applyAlignment="1">
      <alignment horizontal="left"/>
    </xf>
    <xf numFmtId="166" fontId="23" fillId="5" borderId="0" xfId="58" applyNumberFormat="1" applyFont="1" applyFill="1" applyBorder="1" applyAlignment="1">
      <alignment horizontal="center"/>
    </xf>
    <xf numFmtId="166" fontId="23" fillId="5" borderId="0" xfId="0" applyNumberFormat="1" applyFont="1" applyFill="1" applyBorder="1" applyAlignment="1">
      <alignment horizontal="center"/>
    </xf>
    <xf numFmtId="43" fontId="23" fillId="5" borderId="0" xfId="58" applyFont="1" applyFill="1" applyBorder="1" applyAlignment="1">
      <alignment horizontal="center"/>
    </xf>
    <xf numFmtId="43" fontId="23" fillId="5" borderId="0" xfId="0" applyNumberFormat="1" applyFont="1" applyFill="1" applyBorder="1" applyAlignment="1">
      <alignment horizontal="center"/>
    </xf>
    <xf numFmtId="166" fontId="28" fillId="5" borderId="0" xfId="58" applyNumberFormat="1" applyFont="1" applyFill="1" applyBorder="1" applyAlignment="1">
      <alignment horizontal="center"/>
    </xf>
    <xf numFmtId="167" fontId="28" fillId="5" borderId="0" xfId="0" applyNumberFormat="1" applyFont="1" applyFill="1" applyBorder="1" applyAlignment="1">
      <alignment horizontal="center"/>
    </xf>
    <xf numFmtId="0" fontId="24" fillId="5" borderId="12" xfId="0" applyFont="1" applyFill="1" applyBorder="1" applyAlignment="1">
      <alignment horizontal="left"/>
    </xf>
    <xf numFmtId="0" fontId="0" fillId="5" borderId="12" xfId="0" applyFill="1" applyBorder="1" applyAlignment="1">
      <alignment horizontal="center"/>
    </xf>
    <xf numFmtId="2" fontId="0" fillId="6" borderId="21" xfId="0" applyNumberFormat="1" applyFill="1" applyBorder="1" applyAlignment="1"/>
    <xf numFmtId="0" fontId="0" fillId="6" borderId="21" xfId="0" applyFill="1" applyBorder="1" applyAlignment="1"/>
    <xf numFmtId="166" fontId="9" fillId="5" borderId="0" xfId="58" applyNumberFormat="1" applyFont="1" applyFill="1" applyBorder="1" applyAlignment="1">
      <alignment horizontal="center"/>
    </xf>
    <xf numFmtId="167" fontId="9" fillId="5" borderId="0" xfId="0" applyNumberFormat="1" applyFont="1" applyFill="1" applyBorder="1" applyAlignment="1">
      <alignment horizontal="center"/>
    </xf>
    <xf numFmtId="0" fontId="30" fillId="5" borderId="0" xfId="0" applyFont="1" applyFill="1" applyBorder="1" applyAlignment="1">
      <alignment horizontal="center"/>
    </xf>
    <xf numFmtId="0" fontId="29" fillId="5" borderId="0" xfId="0" applyFont="1" applyFill="1" applyBorder="1" applyAlignment="1">
      <alignment horizontal="center"/>
    </xf>
    <xf numFmtId="43" fontId="25" fillId="6" borderId="20" xfId="0" applyNumberFormat="1" applyFont="1" applyFill="1" applyBorder="1" applyAlignment="1">
      <alignment horizontal="center"/>
    </xf>
    <xf numFmtId="43" fontId="25" fillId="6" borderId="22" xfId="0" applyNumberFormat="1" applyFont="1" applyFill="1" applyBorder="1" applyAlignment="1">
      <alignment horizontal="center"/>
    </xf>
    <xf numFmtId="0" fontId="16" fillId="5" borderId="26" xfId="0" applyFont="1" applyFill="1" applyBorder="1" applyAlignment="1">
      <alignment horizontal="center"/>
    </xf>
    <xf numFmtId="0" fontId="16" fillId="5" borderId="28" xfId="0" applyFont="1" applyFill="1" applyBorder="1" applyAlignment="1">
      <alignment horizontal="center"/>
    </xf>
    <xf numFmtId="168" fontId="9" fillId="5" borderId="29" xfId="0" applyNumberFormat="1" applyFont="1" applyFill="1" applyBorder="1" applyAlignment="1">
      <alignment horizontal="center"/>
    </xf>
    <xf numFmtId="3" fontId="9" fillId="5" borderId="31" xfId="0" applyNumberFormat="1" applyFont="1" applyFill="1" applyBorder="1" applyAlignment="1">
      <alignment horizontal="center"/>
    </xf>
    <xf numFmtId="0" fontId="0" fillId="6" borderId="0" xfId="0" applyFill="1" applyAlignment="1">
      <alignment horizontal="center"/>
    </xf>
    <xf numFmtId="43" fontId="0" fillId="6" borderId="0" xfId="0" applyNumberFormat="1" applyFill="1"/>
    <xf numFmtId="43" fontId="0" fillId="6" borderId="0" xfId="0" quotePrefix="1" applyNumberFormat="1" applyFill="1"/>
    <xf numFmtId="0" fontId="24" fillId="6" borderId="17" xfId="0" applyFont="1" applyFill="1" applyBorder="1" applyAlignment="1"/>
    <xf numFmtId="11" fontId="23" fillId="5" borderId="0" xfId="0" applyNumberFormat="1" applyFont="1" applyFill="1" applyBorder="1"/>
    <xf numFmtId="0" fontId="0" fillId="5" borderId="17" xfId="0" quotePrefix="1" applyFill="1" applyBorder="1"/>
    <xf numFmtId="0" fontId="23" fillId="5" borderId="0" xfId="0" applyFont="1" applyFill="1" applyBorder="1" applyAlignment="1">
      <alignment horizontal="center"/>
    </xf>
    <xf numFmtId="0" fontId="23" fillId="5" borderId="0" xfId="0" quotePrefix="1" applyFont="1" applyFill="1" applyBorder="1" applyAlignment="1">
      <alignment horizontal="center"/>
    </xf>
    <xf numFmtId="165" fontId="23" fillId="5" borderId="0" xfId="0" quotePrefix="1" applyNumberFormat="1" applyFont="1" applyFill="1" applyBorder="1" applyAlignment="1">
      <alignment horizontal="center"/>
    </xf>
    <xf numFmtId="167" fontId="28" fillId="5" borderId="0" xfId="58" quotePrefix="1" applyNumberFormat="1" applyFont="1" applyFill="1" applyBorder="1" applyAlignment="1"/>
    <xf numFmtId="167" fontId="28" fillId="5" borderId="0" xfId="0" quotePrefix="1" applyNumberFormat="1" applyFont="1" applyFill="1" applyBorder="1" applyAlignment="1"/>
    <xf numFmtId="165" fontId="28" fillId="5" borderId="0" xfId="0" applyNumberFormat="1" applyFont="1" applyFill="1" applyBorder="1" applyAlignment="1">
      <alignment horizontal="center"/>
    </xf>
    <xf numFmtId="0" fontId="23" fillId="5" borderId="22" xfId="0" applyFont="1" applyFill="1" applyBorder="1" applyAlignment="1">
      <alignment horizontal="left"/>
    </xf>
    <xf numFmtId="0" fontId="33" fillId="5" borderId="0" xfId="0" applyFont="1" applyFill="1" applyAlignment="1">
      <alignment vertical="center"/>
    </xf>
    <xf numFmtId="0" fontId="25" fillId="5" borderId="0" xfId="0" applyFont="1" applyFill="1" applyAlignment="1">
      <alignment vertical="top"/>
    </xf>
    <xf numFmtId="0" fontId="0" fillId="5" borderId="0" xfId="0" applyFill="1" applyAlignment="1">
      <alignment vertical="top"/>
    </xf>
    <xf numFmtId="0" fontId="0" fillId="5" borderId="0" xfId="0" applyFill="1" applyAlignment="1">
      <alignment vertical="center"/>
    </xf>
    <xf numFmtId="0" fontId="25" fillId="5" borderId="0" xfId="0" applyFont="1" applyFill="1" applyAlignment="1">
      <alignment vertical="center"/>
    </xf>
    <xf numFmtId="0" fontId="26" fillId="5" borderId="0" xfId="47" applyFont="1" applyFill="1" applyBorder="1" applyAlignment="1">
      <alignment horizontal="center"/>
    </xf>
    <xf numFmtId="0" fontId="27" fillId="5" borderId="0" xfId="0" applyFont="1" applyFill="1" applyBorder="1"/>
    <xf numFmtId="0" fontId="26" fillId="5" borderId="0" xfId="0" applyFont="1" applyFill="1" applyBorder="1"/>
    <xf numFmtId="0" fontId="21" fillId="5" borderId="0" xfId="0" applyFont="1" applyFill="1" applyBorder="1"/>
    <xf numFmtId="167" fontId="27" fillId="5" borderId="0" xfId="58" applyNumberFormat="1" applyFont="1" applyFill="1" applyBorder="1"/>
    <xf numFmtId="166" fontId="9" fillId="5" borderId="0" xfId="58" applyNumberFormat="1" applyFont="1" applyFill="1" applyBorder="1"/>
    <xf numFmtId="0" fontId="21" fillId="5" borderId="22" xfId="0" applyFont="1" applyFill="1" applyBorder="1"/>
    <xf numFmtId="0" fontId="21" fillId="6" borderId="20" xfId="0" applyFont="1" applyFill="1" applyBorder="1"/>
    <xf numFmtId="0" fontId="9" fillId="5" borderId="0" xfId="0" applyFont="1" applyFill="1" applyBorder="1" applyAlignment="1">
      <alignment horizontal="left"/>
    </xf>
    <xf numFmtId="0" fontId="27" fillId="5" borderId="0" xfId="0" applyFont="1" applyFill="1" applyBorder="1" applyAlignment="1">
      <alignment horizontal="center"/>
    </xf>
    <xf numFmtId="0" fontId="25" fillId="5" borderId="0" xfId="0" applyFont="1" applyFill="1" applyBorder="1"/>
    <xf numFmtId="0" fontId="0" fillId="5" borderId="0" xfId="0" applyFill="1" applyBorder="1" applyAlignment="1">
      <alignment horizontal="left" indent="1"/>
    </xf>
    <xf numFmtId="167" fontId="0" fillId="5" borderId="0" xfId="58" applyNumberFormat="1" applyFont="1" applyFill="1" applyBorder="1"/>
    <xf numFmtId="1" fontId="9" fillId="5" borderId="0" xfId="0" applyNumberFormat="1" applyFont="1" applyFill="1" applyBorder="1"/>
    <xf numFmtId="167" fontId="9" fillId="5" borderId="0" xfId="58" applyNumberFormat="1" applyFont="1" applyFill="1" applyBorder="1"/>
    <xf numFmtId="1" fontId="23" fillId="5" borderId="0" xfId="0" applyNumberFormat="1" applyFont="1" applyFill="1" applyBorder="1"/>
    <xf numFmtId="0" fontId="25" fillId="6" borderId="20" xfId="0" applyFont="1" applyFill="1" applyBorder="1"/>
    <xf numFmtId="1" fontId="25" fillId="6" borderId="20" xfId="0" applyNumberFormat="1" applyFont="1" applyFill="1" applyBorder="1"/>
    <xf numFmtId="165" fontId="0" fillId="6" borderId="21" xfId="0" applyNumberFormat="1" applyFill="1" applyBorder="1" applyAlignment="1">
      <alignment horizontal="right"/>
    </xf>
    <xf numFmtId="0" fontId="25" fillId="6" borderId="22" xfId="0" applyFont="1" applyFill="1" applyBorder="1"/>
    <xf numFmtId="1" fontId="25" fillId="6" borderId="22" xfId="0" applyNumberFormat="1" applyFont="1" applyFill="1" applyBorder="1"/>
    <xf numFmtId="167" fontId="23" fillId="5" borderId="0" xfId="58" applyNumberFormat="1" applyFont="1" applyFill="1" applyBorder="1" applyAlignment="1">
      <alignment horizontal="right"/>
    </xf>
    <xf numFmtId="0" fontId="0" fillId="5" borderId="0" xfId="0" applyFill="1" applyBorder="1" applyAlignment="1">
      <alignment horizontal="right"/>
    </xf>
    <xf numFmtId="167" fontId="0" fillId="5" borderId="0" xfId="0" applyNumberFormat="1" applyFill="1" applyBorder="1"/>
    <xf numFmtId="166" fontId="0" fillId="5" borderId="0" xfId="58" applyNumberFormat="1" applyFont="1" applyFill="1" applyBorder="1"/>
    <xf numFmtId="0" fontId="0" fillId="5" borderId="0" xfId="0" applyFill="1" applyBorder="1" applyAlignment="1">
      <alignment horizontal="left"/>
    </xf>
    <xf numFmtId="0" fontId="9" fillId="5" borderId="0" xfId="0" applyFont="1" applyFill="1" applyBorder="1" applyAlignment="1">
      <alignment horizontal="left" indent="1"/>
    </xf>
    <xf numFmtId="167" fontId="9" fillId="5" borderId="0" xfId="0" applyNumberFormat="1" applyFont="1" applyFill="1" applyBorder="1"/>
    <xf numFmtId="0" fontId="0" fillId="6" borderId="20" xfId="0" applyFill="1" applyBorder="1" applyAlignment="1">
      <alignment horizontal="right"/>
    </xf>
    <xf numFmtId="0" fontId="25" fillId="6" borderId="22" xfId="0" applyFont="1" applyFill="1" applyBorder="1" applyAlignment="1">
      <alignment horizontal="right"/>
    </xf>
    <xf numFmtId="0" fontId="25" fillId="5" borderId="0" xfId="0" applyFont="1" applyFill="1" applyBorder="1" applyAlignment="1">
      <alignment horizontal="right"/>
    </xf>
    <xf numFmtId="0" fontId="15" fillId="5" borderId="0" xfId="0" applyFont="1" applyFill="1" applyBorder="1"/>
    <xf numFmtId="0" fontId="28" fillId="5" borderId="0" xfId="0" applyFont="1" applyFill="1" applyBorder="1"/>
    <xf numFmtId="0" fontId="15" fillId="5" borderId="0" xfId="0" applyFont="1" applyFill="1" applyBorder="1" applyAlignment="1">
      <alignment horizontal="right"/>
    </xf>
    <xf numFmtId="43" fontId="28" fillId="5" borderId="0" xfId="58" applyNumberFormat="1" applyFont="1" applyFill="1" applyBorder="1"/>
    <xf numFmtId="0" fontId="15" fillId="6" borderId="10" xfId="0" applyFont="1" applyFill="1" applyBorder="1"/>
    <xf numFmtId="0" fontId="0" fillId="5" borderId="30" xfId="0" applyFill="1" applyBorder="1" applyAlignment="1">
      <alignment horizontal="left" indent="1"/>
    </xf>
    <xf numFmtId="167" fontId="0" fillId="5" borderId="30" xfId="58" applyNumberFormat="1" applyFont="1" applyFill="1" applyBorder="1"/>
    <xf numFmtId="166" fontId="0" fillId="5" borderId="30" xfId="58" applyNumberFormat="1" applyFont="1" applyFill="1" applyBorder="1"/>
    <xf numFmtId="0" fontId="15" fillId="6" borderId="0" xfId="0" applyFont="1" applyFill="1"/>
    <xf numFmtId="0" fontId="0" fillId="5" borderId="11" xfId="0" applyFont="1" applyFill="1" applyBorder="1"/>
    <xf numFmtId="0" fontId="0" fillId="5" borderId="12" xfId="0" applyFont="1" applyFill="1" applyBorder="1"/>
    <xf numFmtId="0" fontId="0" fillId="5" borderId="13" xfId="0" applyFont="1" applyFill="1" applyBorder="1"/>
    <xf numFmtId="0" fontId="9" fillId="5" borderId="14" xfId="0" applyFont="1" applyFill="1" applyBorder="1"/>
    <xf numFmtId="43" fontId="9" fillId="5" borderId="0" xfId="0" applyNumberFormat="1" applyFont="1" applyFill="1" applyBorder="1"/>
    <xf numFmtId="0" fontId="9" fillId="5" borderId="34" xfId="0" applyFont="1" applyFill="1" applyBorder="1"/>
    <xf numFmtId="0" fontId="9" fillId="5" borderId="27" xfId="0" applyFont="1" applyFill="1" applyBorder="1"/>
    <xf numFmtId="43" fontId="9" fillId="5" borderId="34" xfId="0" applyNumberFormat="1" applyFont="1" applyFill="1" applyBorder="1"/>
    <xf numFmtId="167" fontId="9" fillId="5" borderId="34" xfId="0" applyNumberFormat="1" applyFont="1" applyFill="1" applyBorder="1"/>
    <xf numFmtId="0" fontId="16" fillId="5" borderId="0" xfId="0" applyFont="1" applyFill="1" applyBorder="1" applyAlignment="1">
      <alignment horizontal="right"/>
    </xf>
    <xf numFmtId="0" fontId="9" fillId="5" borderId="0" xfId="0" applyFont="1" applyFill="1" applyBorder="1" applyAlignment="1">
      <alignment horizontal="right"/>
    </xf>
    <xf numFmtId="166" fontId="0" fillId="5" borderId="0" xfId="58" applyNumberFormat="1" applyFont="1" applyFill="1" applyBorder="1" applyAlignment="1">
      <alignment horizontal="right"/>
    </xf>
    <xf numFmtId="167" fontId="0" fillId="5" borderId="0" xfId="58" applyNumberFormat="1" applyFont="1" applyFill="1" applyBorder="1" applyAlignment="1">
      <alignment horizontal="right"/>
    </xf>
    <xf numFmtId="166" fontId="0" fillId="5" borderId="30" xfId="58" applyNumberFormat="1" applyFont="1" applyFill="1" applyBorder="1" applyAlignment="1">
      <alignment horizontal="right"/>
    </xf>
    <xf numFmtId="167" fontId="0" fillId="5" borderId="30" xfId="58" applyNumberFormat="1" applyFont="1" applyFill="1" applyBorder="1" applyAlignment="1">
      <alignment horizontal="right"/>
    </xf>
    <xf numFmtId="166" fontId="9" fillId="5" borderId="0" xfId="58" applyNumberFormat="1" applyFont="1" applyFill="1" applyBorder="1" applyAlignment="1">
      <alignment horizontal="right"/>
    </xf>
    <xf numFmtId="167" fontId="9" fillId="5" borderId="0" xfId="58" applyNumberFormat="1" applyFont="1" applyFill="1" applyBorder="1" applyAlignment="1">
      <alignment horizontal="right"/>
    </xf>
    <xf numFmtId="166" fontId="0" fillId="5" borderId="0" xfId="0" applyNumberFormat="1" applyFont="1" applyFill="1" applyBorder="1" applyAlignment="1">
      <alignment horizontal="right"/>
    </xf>
    <xf numFmtId="167" fontId="0" fillId="5" borderId="0" xfId="0" applyNumberFormat="1" applyFont="1" applyFill="1" applyBorder="1" applyAlignment="1">
      <alignment horizontal="right"/>
    </xf>
    <xf numFmtId="166" fontId="9" fillId="5" borderId="27" xfId="0" applyNumberFormat="1" applyFont="1" applyFill="1" applyBorder="1" applyAlignment="1">
      <alignment horizontal="right"/>
    </xf>
    <xf numFmtId="167" fontId="9" fillId="5" borderId="27" xfId="58" applyNumberFormat="1" applyFont="1" applyFill="1" applyBorder="1" applyAlignment="1">
      <alignment horizontal="right"/>
    </xf>
    <xf numFmtId="3" fontId="9" fillId="5" borderId="0" xfId="0" applyNumberFormat="1" applyFont="1" applyFill="1" applyBorder="1"/>
    <xf numFmtId="0" fontId="9" fillId="5" borderId="17" xfId="0" applyFont="1" applyFill="1" applyBorder="1"/>
    <xf numFmtId="3" fontId="9" fillId="5" borderId="17" xfId="0" applyNumberFormat="1" applyFont="1" applyFill="1" applyBorder="1"/>
    <xf numFmtId="11" fontId="0" fillId="6" borderId="10" xfId="0" applyNumberFormat="1" applyFont="1" applyFill="1" applyBorder="1" applyAlignment="1">
      <alignment horizontal="right"/>
    </xf>
    <xf numFmtId="6" fontId="23" fillId="5" borderId="0" xfId="0" applyNumberFormat="1" applyFont="1" applyFill="1" applyBorder="1"/>
    <xf numFmtId="6" fontId="28" fillId="5" borderId="0" xfId="0" applyNumberFormat="1" applyFont="1" applyFill="1" applyBorder="1"/>
    <xf numFmtId="0" fontId="0" fillId="3" borderId="20" xfId="0" applyFill="1" applyBorder="1" applyAlignment="1">
      <alignment horizontal="right"/>
    </xf>
    <xf numFmtId="0" fontId="0" fillId="4" borderId="20" xfId="0" applyFill="1" applyBorder="1" applyAlignment="1">
      <alignment horizontal="right"/>
    </xf>
    <xf numFmtId="0" fontId="9" fillId="0" borderId="0" xfId="0" applyFont="1"/>
    <xf numFmtId="0" fontId="16" fillId="0" borderId="0" xfId="0" applyFont="1"/>
    <xf numFmtId="0" fontId="21" fillId="8" borderId="0" xfId="0" applyFont="1" applyFill="1"/>
    <xf numFmtId="0" fontId="34" fillId="8" borderId="0" xfId="0" applyFont="1" applyFill="1" applyAlignment="1">
      <alignment vertical="center"/>
    </xf>
    <xf numFmtId="0" fontId="35" fillId="8" borderId="0" xfId="0" applyFont="1" applyFill="1" applyAlignment="1">
      <alignment vertical="center"/>
    </xf>
    <xf numFmtId="0" fontId="21" fillId="10" borderId="11" xfId="0" applyFont="1" applyFill="1" applyBorder="1"/>
    <xf numFmtId="0" fontId="21" fillId="10" borderId="12" xfId="0" applyFont="1" applyFill="1" applyBorder="1"/>
    <xf numFmtId="0" fontId="21" fillId="10" borderId="13" xfId="0" applyFont="1" applyFill="1" applyBorder="1"/>
    <xf numFmtId="0" fontId="21" fillId="10" borderId="14" xfId="0" applyFont="1" applyFill="1" applyBorder="1"/>
    <xf numFmtId="0" fontId="21" fillId="10" borderId="0" xfId="0" applyFont="1" applyFill="1"/>
    <xf numFmtId="0" fontId="21" fillId="10" borderId="35" xfId="0" applyFont="1" applyFill="1" applyBorder="1"/>
    <xf numFmtId="0" fontId="21" fillId="10" borderId="15" xfId="0" applyFont="1" applyFill="1" applyBorder="1"/>
    <xf numFmtId="0" fontId="21" fillId="10" borderId="16" xfId="0" applyFont="1" applyFill="1" applyBorder="1"/>
    <xf numFmtId="0" fontId="21" fillId="10" borderId="17" xfId="0" applyFont="1" applyFill="1" applyBorder="1"/>
    <xf numFmtId="0" fontId="21" fillId="10" borderId="18" xfId="0" applyFont="1" applyFill="1" applyBorder="1"/>
    <xf numFmtId="0" fontId="25" fillId="6" borderId="20" xfId="0" applyFont="1" applyFill="1" applyBorder="1" applyAlignment="1">
      <alignment horizontal="right"/>
    </xf>
    <xf numFmtId="166" fontId="27" fillId="5" borderId="0" xfId="58" applyNumberFormat="1" applyFont="1" applyFill="1" applyBorder="1"/>
    <xf numFmtId="0" fontId="28" fillId="5" borderId="0" xfId="0" applyFont="1" applyFill="1" applyBorder="1" applyAlignment="1">
      <alignment horizontal="center"/>
    </xf>
    <xf numFmtId="0" fontId="0" fillId="0" borderId="0" xfId="0"/>
    <xf numFmtId="0" fontId="17" fillId="6" borderId="0" xfId="0" applyFont="1" applyFill="1"/>
    <xf numFmtId="0" fontId="0" fillId="5" borderId="17" xfId="0" applyFill="1" applyBorder="1" applyAlignment="1">
      <alignment horizontal="left"/>
    </xf>
    <xf numFmtId="0" fontId="0" fillId="0" borderId="0" xfId="0"/>
    <xf numFmtId="0" fontId="0" fillId="0" borderId="0" xfId="0"/>
    <xf numFmtId="11" fontId="0" fillId="0" borderId="0" xfId="0" applyNumberFormat="1"/>
    <xf numFmtId="0" fontId="0" fillId="0" borderId="0" xfId="0"/>
    <xf numFmtId="0" fontId="0" fillId="0" borderId="0" xfId="0"/>
    <xf numFmtId="0" fontId="0" fillId="0" borderId="0" xfId="0"/>
    <xf numFmtId="0" fontId="0" fillId="0" borderId="0" xfId="0"/>
    <xf numFmtId="3" fontId="0" fillId="0" borderId="0" xfId="0" applyNumberFormat="1"/>
    <xf numFmtId="2"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44" fillId="0" borderId="0" xfId="0" applyFont="1"/>
    <xf numFmtId="43" fontId="9" fillId="5" borderId="0" xfId="0" quotePrefix="1" applyNumberFormat="1" applyFont="1" applyFill="1" applyBorder="1"/>
    <xf numFmtId="167" fontId="9" fillId="5" borderId="30" xfId="58" quotePrefix="1" applyNumberFormat="1" applyFont="1" applyFill="1" applyBorder="1" applyAlignment="1">
      <alignment horizontal="right"/>
    </xf>
    <xf numFmtId="0" fontId="0" fillId="0" borderId="0" xfId="0"/>
    <xf numFmtId="0" fontId="0" fillId="0" borderId="0" xfId="0"/>
    <xf numFmtId="9" fontId="0" fillId="0" borderId="0" xfId="0" applyNumberFormat="1"/>
    <xf numFmtId="43" fontId="0" fillId="0" borderId="0" xfId="0" applyNumberFormat="1"/>
    <xf numFmtId="0" fontId="15" fillId="6" borderId="20" xfId="0" applyFont="1" applyFill="1" applyBorder="1"/>
    <xf numFmtId="0" fontId="15" fillId="6" borderId="37" xfId="0" applyFont="1" applyFill="1" applyBorder="1"/>
    <xf numFmtId="0" fontId="15" fillId="6" borderId="38" xfId="0" applyFont="1" applyFill="1" applyBorder="1"/>
    <xf numFmtId="43" fontId="23" fillId="5" borderId="0" xfId="58" applyFont="1" applyFill="1" applyBorder="1"/>
    <xf numFmtId="43" fontId="9" fillId="5" borderId="0" xfId="58" applyFont="1" applyFill="1" applyBorder="1" applyAlignment="1">
      <alignment horizontal="right"/>
    </xf>
    <xf numFmtId="0" fontId="15" fillId="6" borderId="22" xfId="0" applyFont="1" applyFill="1" applyBorder="1"/>
    <xf numFmtId="43" fontId="28" fillId="5" borderId="0" xfId="58" applyNumberFormat="1" applyFont="1" applyFill="1" applyBorder="1" applyAlignment="1">
      <alignment horizontal="center"/>
    </xf>
    <xf numFmtId="0" fontId="47" fillId="5" borderId="0" xfId="0" applyFont="1" applyFill="1" applyBorder="1"/>
    <xf numFmtId="43" fontId="48" fillId="5" borderId="0" xfId="58" applyNumberFormat="1" applyFont="1" applyFill="1" applyBorder="1"/>
    <xf numFmtId="0" fontId="48" fillId="5" borderId="0" xfId="0" applyFont="1" applyFill="1" applyBorder="1"/>
    <xf numFmtId="43" fontId="47" fillId="5" borderId="0" xfId="58" applyFont="1" applyFill="1" applyBorder="1"/>
    <xf numFmtId="0" fontId="0" fillId="5" borderId="17" xfId="0" applyFont="1" applyFill="1" applyBorder="1" applyAlignment="1">
      <alignment horizontal="right"/>
    </xf>
    <xf numFmtId="0" fontId="0" fillId="5" borderId="0" xfId="0" applyFont="1" applyFill="1" applyBorder="1" applyAlignment="1">
      <alignment horizontal="left" indent="1"/>
    </xf>
    <xf numFmtId="0" fontId="0" fillId="5" borderId="12" xfId="0" applyFont="1" applyFill="1" applyBorder="1" applyAlignment="1">
      <alignment horizontal="right"/>
    </xf>
    <xf numFmtId="0" fontId="0" fillId="6" borderId="20" xfId="0" applyNumberFormat="1" applyFont="1" applyFill="1" applyBorder="1" applyAlignment="1">
      <alignment horizontal="right"/>
    </xf>
    <xf numFmtId="165" fontId="23" fillId="5" borderId="0" xfId="0" applyNumberFormat="1" applyFont="1" applyFill="1" applyBorder="1" applyAlignment="1">
      <alignment horizontal="right"/>
    </xf>
    <xf numFmtId="0" fontId="17" fillId="5" borderId="0" xfId="0" applyFont="1" applyFill="1" applyBorder="1" applyAlignment="1">
      <alignment horizontal="left"/>
    </xf>
    <xf numFmtId="0" fontId="0" fillId="0" borderId="0" xfId="0"/>
    <xf numFmtId="0" fontId="0" fillId="0" borderId="0" xfId="0"/>
    <xf numFmtId="0" fontId="0" fillId="0" borderId="0" xfId="0"/>
    <xf numFmtId="0" fontId="23" fillId="5" borderId="0" xfId="0" applyNumberFormat="1" applyFont="1" applyFill="1" applyBorder="1"/>
    <xf numFmtId="0" fontId="0" fillId="6" borderId="22" xfId="0" applyFill="1" applyBorder="1" applyAlignment="1">
      <alignment horizontal="center"/>
    </xf>
    <xf numFmtId="0" fontId="23" fillId="5" borderId="0" xfId="0" applyNumberFormat="1" applyFont="1" applyFill="1" applyBorder="1" applyAlignment="1">
      <alignment horizontal="center"/>
    </xf>
    <xf numFmtId="0" fontId="15" fillId="5" borderId="0" xfId="0" applyFont="1" applyFill="1" applyBorder="1" applyAlignment="1">
      <alignment horizontal="center"/>
    </xf>
    <xf numFmtId="0" fontId="23" fillId="5" borderId="17" xfId="0" applyNumberFormat="1" applyFont="1" applyFill="1" applyBorder="1"/>
    <xf numFmtId="0" fontId="9" fillId="5" borderId="15" xfId="0" applyFont="1" applyFill="1" applyBorder="1" applyAlignment="1">
      <alignment horizontal="center"/>
    </xf>
    <xf numFmtId="0" fontId="23" fillId="5" borderId="15" xfId="0" applyNumberFormat="1" applyFont="1" applyFill="1" applyBorder="1" applyAlignment="1">
      <alignment horizontal="center"/>
    </xf>
    <xf numFmtId="0" fontId="23" fillId="5" borderId="16" xfId="0" applyNumberFormat="1" applyFont="1" applyFill="1" applyBorder="1" applyAlignment="1">
      <alignment horizontal="center"/>
    </xf>
    <xf numFmtId="0" fontId="23" fillId="5" borderId="17" xfId="0" applyNumberFormat="1" applyFont="1" applyFill="1" applyBorder="1" applyAlignment="1">
      <alignment horizontal="center"/>
    </xf>
    <xf numFmtId="0" fontId="23" fillId="5" borderId="18" xfId="0" applyNumberFormat="1" applyFont="1" applyFill="1" applyBorder="1" applyAlignment="1">
      <alignment horizontal="center"/>
    </xf>
    <xf numFmtId="0" fontId="23" fillId="5" borderId="15" xfId="0" applyFont="1" applyFill="1" applyBorder="1"/>
    <xf numFmtId="0" fontId="28" fillId="5" borderId="0" xfId="0" applyNumberFormat="1" applyFont="1" applyFill="1" applyBorder="1" applyAlignment="1">
      <alignment horizontal="right"/>
    </xf>
    <xf numFmtId="0" fontId="8" fillId="0" borderId="0" xfId="0" applyFont="1" applyFill="1" applyBorder="1"/>
    <xf numFmtId="0" fontId="8" fillId="0" borderId="3" xfId="0" applyFont="1" applyFill="1" applyBorder="1"/>
    <xf numFmtId="0" fontId="8" fillId="0" borderId="9" xfId="0" applyFont="1" applyFill="1" applyBorder="1"/>
    <xf numFmtId="0" fontId="0" fillId="0" borderId="0" xfId="0" applyFill="1"/>
    <xf numFmtId="0" fontId="10" fillId="0" borderId="0" xfId="0" applyFont="1" applyFill="1"/>
    <xf numFmtId="43" fontId="15" fillId="0" borderId="2" xfId="58" applyFont="1" applyFill="1" applyBorder="1"/>
    <xf numFmtId="0" fontId="15" fillId="0" borderId="6" xfId="0" applyFont="1" applyFill="1" applyBorder="1" applyAlignment="1">
      <alignment horizontal="left"/>
    </xf>
    <xf numFmtId="0" fontId="15" fillId="0" borderId="2" xfId="0" applyFont="1" applyFill="1" applyBorder="1" applyAlignment="1">
      <alignment horizontal="left"/>
    </xf>
    <xf numFmtId="43" fontId="15" fillId="0" borderId="2" xfId="58" applyNumberFormat="1" applyFont="1" applyFill="1" applyBorder="1" applyAlignment="1">
      <alignment horizontal="left"/>
    </xf>
    <xf numFmtId="0" fontId="15" fillId="0" borderId="2" xfId="0" applyFont="1" applyFill="1" applyBorder="1"/>
    <xf numFmtId="14" fontId="15" fillId="0" borderId="2" xfId="0" applyNumberFormat="1" applyFont="1" applyFill="1" applyBorder="1"/>
    <xf numFmtId="0" fontId="15" fillId="0" borderId="2" xfId="0" applyFont="1" applyFill="1" applyBorder="1" applyAlignment="1">
      <alignment horizontal="left" vertical="center"/>
    </xf>
    <xf numFmtId="14" fontId="15" fillId="0" borderId="6" xfId="0" applyNumberFormat="1" applyFont="1" applyFill="1" applyBorder="1"/>
    <xf numFmtId="0" fontId="15" fillId="0" borderId="0" xfId="0" applyFont="1" applyFill="1" applyBorder="1" applyAlignment="1">
      <alignment horizontal="left"/>
    </xf>
    <xf numFmtId="0" fontId="15" fillId="0" borderId="0" xfId="0" applyFont="1" applyFill="1"/>
    <xf numFmtId="0" fontId="15" fillId="0" borderId="3" xfId="0" applyFont="1" applyFill="1" applyBorder="1" applyAlignment="1">
      <alignment horizontal="left"/>
    </xf>
    <xf numFmtId="0" fontId="15" fillId="0" borderId="3" xfId="0" applyFont="1" applyFill="1" applyBorder="1"/>
    <xf numFmtId="14" fontId="15" fillId="0" borderId="3" xfId="0" applyNumberFormat="1" applyFont="1" applyFill="1" applyBorder="1"/>
    <xf numFmtId="14" fontId="15" fillId="0" borderId="0" xfId="0" applyNumberFormat="1" applyFont="1" applyFill="1" applyBorder="1"/>
    <xf numFmtId="0" fontId="15" fillId="0" borderId="0" xfId="0" applyFont="1" applyFill="1" applyBorder="1"/>
    <xf numFmtId="0" fontId="16" fillId="5" borderId="0" xfId="0" applyFont="1" applyFill="1"/>
    <xf numFmtId="0" fontId="9" fillId="5" borderId="0" xfId="0" applyFont="1" applyFill="1"/>
    <xf numFmtId="0" fontId="0" fillId="5" borderId="0" xfId="0" quotePrefix="1" applyFill="1"/>
    <xf numFmtId="0" fontId="23" fillId="6" borderId="22" xfId="0" applyFont="1" applyFill="1" applyBorder="1"/>
    <xf numFmtId="1" fontId="23" fillId="5" borderId="0" xfId="0" applyNumberFormat="1" applyFont="1" applyFill="1"/>
    <xf numFmtId="0" fontId="23" fillId="5" borderId="0" xfId="0" applyFont="1" applyFill="1"/>
    <xf numFmtId="167" fontId="1" fillId="5" borderId="0" xfId="58" applyNumberFormat="1" applyFont="1" applyFill="1" applyBorder="1" applyAlignment="1">
      <alignment horizontal="right"/>
    </xf>
    <xf numFmtId="167" fontId="1" fillId="5" borderId="30" xfId="58" applyNumberFormat="1" applyFont="1" applyFill="1" applyBorder="1" applyAlignment="1">
      <alignment horizontal="right"/>
    </xf>
    <xf numFmtId="0" fontId="0" fillId="5" borderId="30" xfId="0" applyFont="1" applyFill="1" applyBorder="1" applyAlignment="1">
      <alignment horizontal="left" indent="1"/>
    </xf>
    <xf numFmtId="43" fontId="1" fillId="5" borderId="0" xfId="58" applyNumberFormat="1" applyFont="1" applyFill="1" applyBorder="1" applyAlignment="1">
      <alignment horizontal="right" indent="2"/>
    </xf>
    <xf numFmtId="43" fontId="1" fillId="5" borderId="30" xfId="58" applyNumberFormat="1" applyFont="1" applyFill="1" applyBorder="1" applyAlignment="1">
      <alignment horizontal="right" indent="2"/>
    </xf>
    <xf numFmtId="43" fontId="9" fillId="5" borderId="0" xfId="58" applyNumberFormat="1" applyFont="1" applyFill="1" applyBorder="1" applyAlignment="1">
      <alignment horizontal="right" indent="2"/>
    </xf>
    <xf numFmtId="0" fontId="0" fillId="3" borderId="10" xfId="0" applyFill="1" applyBorder="1" applyAlignment="1">
      <alignment horizontal="right"/>
    </xf>
    <xf numFmtId="0" fontId="0" fillId="4" borderId="10" xfId="0" applyFill="1" applyBorder="1" applyAlignment="1">
      <alignment horizontal="right"/>
    </xf>
    <xf numFmtId="0" fontId="0" fillId="0" borderId="0" xfId="0"/>
    <xf numFmtId="0" fontId="0" fillId="0" borderId="0" xfId="0"/>
    <xf numFmtId="164" fontId="49" fillId="0" borderId="0" xfId="0" applyNumberFormat="1" applyFont="1" applyFill="1" applyAlignment="1">
      <alignment horizontal="right"/>
    </xf>
    <xf numFmtId="0" fontId="0" fillId="0" borderId="0" xfId="0"/>
    <xf numFmtId="0" fontId="0" fillId="0" borderId="0" xfId="0"/>
    <xf numFmtId="0" fontId="0" fillId="0" borderId="0" xfId="0"/>
    <xf numFmtId="0" fontId="8" fillId="0" borderId="8" xfId="0" applyFont="1" applyFill="1" applyBorder="1"/>
    <xf numFmtId="0" fontId="0" fillId="0" borderId="4" xfId="0" applyFont="1" applyFill="1" applyBorder="1"/>
    <xf numFmtId="0" fontId="0" fillId="0" borderId="5" xfId="0" applyFont="1" applyFill="1" applyBorder="1"/>
    <xf numFmtId="0" fontId="0" fillId="0" borderId="6" xfId="0" applyFont="1" applyFill="1" applyBorder="1"/>
    <xf numFmtId="0" fontId="0" fillId="0" borderId="2" xfId="0" applyFont="1" applyFill="1" applyBorder="1"/>
    <xf numFmtId="11" fontId="0" fillId="0" borderId="2" xfId="0" applyNumberFormat="1" applyFont="1" applyFill="1" applyBorder="1"/>
    <xf numFmtId="0" fontId="0" fillId="0" borderId="2" xfId="0" applyNumberFormat="1" applyFont="1" applyFill="1" applyBorder="1"/>
    <xf numFmtId="0" fontId="32" fillId="5" borderId="0" xfId="0" applyFont="1" applyFill="1" applyBorder="1"/>
    <xf numFmtId="11" fontId="0" fillId="5" borderId="0" xfId="0" applyNumberFormat="1" applyFill="1" applyBorder="1"/>
    <xf numFmtId="0" fontId="24" fillId="5" borderId="12" xfId="0" applyFont="1" applyFill="1" applyBorder="1" applyAlignment="1">
      <alignment vertical="center"/>
    </xf>
    <xf numFmtId="0" fontId="24" fillId="5" borderId="13" xfId="0" applyFont="1" applyFill="1" applyBorder="1" applyAlignment="1">
      <alignment vertical="center"/>
    </xf>
    <xf numFmtId="0" fontId="0" fillId="6" borderId="0" xfId="0" applyFill="1" applyAlignment="1">
      <alignment vertical="center"/>
    </xf>
    <xf numFmtId="170" fontId="27" fillId="11" borderId="15" xfId="569" applyNumberFormat="1" applyFont="1" applyFill="1" applyBorder="1" applyAlignment="1"/>
    <xf numFmtId="169" fontId="9" fillId="5" borderId="15" xfId="0" applyNumberFormat="1" applyFont="1" applyFill="1" applyBorder="1" applyAlignment="1">
      <alignment horizontal="right"/>
    </xf>
    <xf numFmtId="0" fontId="9" fillId="6" borderId="0" xfId="0" applyFont="1" applyFill="1" applyBorder="1" applyAlignment="1">
      <alignment horizontal="center"/>
    </xf>
    <xf numFmtId="11" fontId="0" fillId="6" borderId="10" xfId="0" applyNumberFormat="1" applyFont="1" applyFill="1" applyBorder="1" applyAlignment="1">
      <alignment horizontal="left"/>
    </xf>
    <xf numFmtId="0" fontId="0" fillId="0" borderId="0" xfId="0"/>
    <xf numFmtId="0" fontId="55" fillId="6" borderId="0" xfId="0" applyFont="1" applyFill="1"/>
    <xf numFmtId="0" fontId="56" fillId="6" borderId="0" xfId="0" applyFont="1" applyFill="1"/>
    <xf numFmtId="0" fontId="0" fillId="0" borderId="0" xfId="0"/>
    <xf numFmtId="0" fontId="0" fillId="5" borderId="0" xfId="0" applyFont="1" applyFill="1" applyBorder="1" applyAlignment="1">
      <alignment horizontal="left"/>
    </xf>
    <xf numFmtId="0" fontId="0" fillId="0" borderId="0" xfId="0" applyNumberFormat="1"/>
    <xf numFmtId="0" fontId="47" fillId="5" borderId="0" xfId="58" applyNumberFormat="1" applyFont="1" applyFill="1" applyBorder="1" applyAlignment="1">
      <alignment horizontal="right"/>
    </xf>
    <xf numFmtId="0" fontId="47" fillId="5" borderId="0" xfId="0" applyFont="1" applyFill="1" applyBorder="1" applyAlignment="1">
      <alignment horizontal="right"/>
    </xf>
    <xf numFmtId="0" fontId="0" fillId="0" borderId="0" xfId="0" applyAlignment="1">
      <alignment horizontal="right"/>
    </xf>
    <xf numFmtId="1" fontId="0" fillId="0" borderId="0" xfId="0" applyNumberFormat="1" applyAlignment="1">
      <alignment horizontal="right"/>
    </xf>
    <xf numFmtId="165" fontId="0" fillId="0" borderId="0" xfId="0" applyNumberFormat="1" applyAlignment="1">
      <alignment horizontal="right"/>
    </xf>
    <xf numFmtId="1" fontId="0" fillId="0" borderId="0" xfId="0" applyNumberFormat="1" applyFont="1" applyAlignment="1">
      <alignment horizontal="right"/>
    </xf>
    <xf numFmtId="0" fontId="0" fillId="0" borderId="0" xfId="0" applyFont="1" applyAlignment="1">
      <alignment horizontal="right"/>
    </xf>
    <xf numFmtId="1" fontId="0" fillId="0" borderId="0" xfId="732" applyNumberFormat="1" applyFont="1" applyAlignment="1">
      <alignment horizontal="right"/>
    </xf>
    <xf numFmtId="0" fontId="26" fillId="5" borderId="0" xfId="0" applyFont="1" applyFill="1" applyBorder="1" applyAlignment="1">
      <alignment horizontal="right"/>
    </xf>
    <xf numFmtId="0" fontId="23" fillId="5" borderId="0" xfId="58" applyNumberFormat="1" applyFont="1" applyFill="1" applyBorder="1" applyAlignment="1">
      <alignment horizontal="right"/>
    </xf>
    <xf numFmtId="43" fontId="28" fillId="5" borderId="0" xfId="58" applyNumberFormat="1" applyFont="1" applyFill="1" applyBorder="1" applyAlignment="1">
      <alignment horizontal="right"/>
    </xf>
    <xf numFmtId="0" fontId="9" fillId="5" borderId="27" xfId="0" applyFont="1" applyFill="1" applyBorder="1" applyAlignment="1">
      <alignment horizontal="left" indent="1"/>
    </xf>
    <xf numFmtId="43" fontId="9" fillId="5" borderId="27" xfId="58" applyNumberFormat="1" applyFont="1" applyFill="1" applyBorder="1"/>
    <xf numFmtId="0" fontId="48" fillId="5" borderId="27" xfId="0" applyFont="1" applyFill="1" applyBorder="1"/>
    <xf numFmtId="43" fontId="9" fillId="5" borderId="27" xfId="58" applyFont="1" applyFill="1" applyBorder="1" applyAlignment="1">
      <alignment horizontal="right"/>
    </xf>
    <xf numFmtId="43" fontId="28" fillId="5" borderId="34" xfId="58" applyNumberFormat="1" applyFont="1" applyFill="1" applyBorder="1"/>
    <xf numFmtId="0" fontId="0" fillId="5" borderId="34" xfId="0" applyFill="1" applyBorder="1"/>
    <xf numFmtId="0" fontId="28" fillId="5" borderId="15" xfId="0" applyNumberFormat="1" applyFont="1" applyFill="1" applyBorder="1" applyAlignment="1">
      <alignment horizontal="center"/>
    </xf>
    <xf numFmtId="0" fontId="0" fillId="6" borderId="29" xfId="0" applyFill="1" applyBorder="1" applyAlignment="1">
      <alignment horizontal="center"/>
    </xf>
    <xf numFmtId="0" fontId="0" fillId="6" borderId="31" xfId="0" applyFill="1" applyBorder="1" applyAlignment="1">
      <alignment horizontal="center"/>
    </xf>
    <xf numFmtId="0" fontId="9" fillId="5" borderId="30" xfId="0" applyFont="1" applyFill="1" applyBorder="1" applyAlignment="1">
      <alignment horizontal="center"/>
    </xf>
    <xf numFmtId="0" fontId="9" fillId="5" borderId="15" xfId="0" applyFont="1" applyFill="1" applyBorder="1"/>
    <xf numFmtId="2" fontId="15" fillId="5" borderId="0" xfId="0" applyNumberFormat="1" applyFont="1" applyFill="1" applyBorder="1" applyAlignment="1">
      <alignment horizontal="center"/>
    </xf>
    <xf numFmtId="1" fontId="15" fillId="5" borderId="0" xfId="0" applyNumberFormat="1" applyFont="1" applyFill="1" applyBorder="1" applyAlignment="1">
      <alignment horizontal="center"/>
    </xf>
    <xf numFmtId="2" fontId="28" fillId="5" borderId="27" xfId="0" applyNumberFormat="1" applyFont="1" applyFill="1" applyBorder="1" applyAlignment="1">
      <alignment horizontal="center"/>
    </xf>
    <xf numFmtId="1" fontId="28" fillId="5" borderId="27" xfId="0" applyNumberFormat="1" applyFont="1" applyFill="1" applyBorder="1" applyAlignment="1">
      <alignment horizontal="center"/>
    </xf>
    <xf numFmtId="171" fontId="9" fillId="5" borderId="0" xfId="569" applyNumberFormat="1" applyFont="1" applyFill="1" applyBorder="1"/>
    <xf numFmtId="44" fontId="9" fillId="5" borderId="0" xfId="569" applyFont="1" applyFill="1" applyBorder="1"/>
    <xf numFmtId="1" fontId="28" fillId="5" borderId="0" xfId="0" applyNumberFormat="1" applyFont="1" applyFill="1" applyBorder="1" applyAlignment="1">
      <alignment horizontal="center"/>
    </xf>
    <xf numFmtId="2" fontId="28" fillId="5" borderId="0" xfId="0" applyNumberFormat="1" applyFont="1" applyFill="1" applyBorder="1" applyAlignment="1">
      <alignment horizontal="center"/>
    </xf>
    <xf numFmtId="0" fontId="59" fillId="6" borderId="20" xfId="0" applyFont="1" applyFill="1" applyBorder="1" applyAlignment="1">
      <alignment horizontal="center"/>
    </xf>
    <xf numFmtId="0" fontId="59" fillId="6" borderId="22" xfId="0" applyFont="1" applyFill="1" applyBorder="1" applyAlignment="1">
      <alignment horizontal="center"/>
    </xf>
    <xf numFmtId="0" fontId="0" fillId="5" borderId="14" xfId="0" quotePrefix="1" applyFill="1" applyBorder="1"/>
    <xf numFmtId="0" fontId="0" fillId="5" borderId="39" xfId="0" applyFill="1" applyBorder="1"/>
    <xf numFmtId="0" fontId="57" fillId="5" borderId="0" xfId="0" applyNumberFormat="1" applyFont="1" applyFill="1" applyBorder="1" applyAlignment="1">
      <alignment horizontal="left"/>
    </xf>
    <xf numFmtId="0" fontId="57" fillId="5" borderId="17" xfId="0" applyNumberFormat="1" applyFont="1" applyFill="1" applyBorder="1" applyAlignment="1">
      <alignment horizontal="left"/>
    </xf>
    <xf numFmtId="0" fontId="24" fillId="7" borderId="23" xfId="0" applyFont="1" applyFill="1" applyBorder="1" applyAlignment="1"/>
    <xf numFmtId="0" fontId="24" fillId="7" borderId="25" xfId="0" applyFont="1" applyFill="1" applyBorder="1" applyAlignment="1"/>
    <xf numFmtId="0" fontId="24" fillId="7" borderId="24" xfId="0" applyFont="1" applyFill="1" applyBorder="1" applyAlignment="1"/>
    <xf numFmtId="0" fontId="0" fillId="0" borderId="0" xfId="0"/>
    <xf numFmtId="0" fontId="0" fillId="0" borderId="0" xfId="0"/>
    <xf numFmtId="0" fontId="9" fillId="5" borderId="30" xfId="0" applyFont="1" applyFill="1" applyBorder="1"/>
    <xf numFmtId="0" fontId="28" fillId="5" borderId="30" xfId="58" applyNumberFormat="1" applyFont="1" applyFill="1" applyBorder="1" applyAlignment="1">
      <alignment horizontal="right"/>
    </xf>
    <xf numFmtId="43" fontId="9" fillId="5" borderId="0" xfId="58" applyFont="1" applyFill="1" applyBorder="1"/>
    <xf numFmtId="0" fontId="0" fillId="0" borderId="0" xfId="0"/>
    <xf numFmtId="43" fontId="15" fillId="0" borderId="3" xfId="58" applyNumberFormat="1" applyFont="1" applyFill="1" applyBorder="1" applyAlignment="1">
      <alignment horizontal="left"/>
    </xf>
    <xf numFmtId="0" fontId="15" fillId="0" borderId="0" xfId="0" applyFont="1" applyFill="1" applyAlignment="1">
      <alignment horizontal="left"/>
    </xf>
    <xf numFmtId="0" fontId="60" fillId="0" borderId="2" xfId="0" applyFont="1" applyFill="1" applyBorder="1"/>
    <xf numFmtId="0" fontId="60" fillId="0" borderId="2" xfId="0" applyNumberFormat="1" applyFont="1" applyFill="1" applyBorder="1"/>
    <xf numFmtId="0" fontId="60" fillId="0" borderId="1" xfId="0" applyNumberFormat="1" applyFont="1" applyFill="1" applyBorder="1"/>
    <xf numFmtId="43" fontId="60" fillId="0" borderId="2" xfId="58" applyFont="1" applyFill="1" applyBorder="1"/>
    <xf numFmtId="0" fontId="60" fillId="0" borderId="3" xfId="0" applyNumberFormat="1" applyFont="1" applyFill="1" applyBorder="1"/>
    <xf numFmtId="43" fontId="60" fillId="0" borderId="2" xfId="58" applyNumberFormat="1" applyFont="1" applyFill="1" applyBorder="1"/>
    <xf numFmtId="43" fontId="60" fillId="0" borderId="3" xfId="58" applyNumberFormat="1" applyFont="1" applyFill="1" applyBorder="1"/>
    <xf numFmtId="0" fontId="60" fillId="0" borderId="9" xfId="0" applyNumberFormat="1" applyFont="1" applyFill="1" applyBorder="1"/>
    <xf numFmtId="0" fontId="15" fillId="0" borderId="1" xfId="0" applyFont="1" applyFill="1" applyBorder="1"/>
    <xf numFmtId="43" fontId="15" fillId="0" borderId="3" xfId="58" applyFont="1" applyFill="1" applyBorder="1"/>
    <xf numFmtId="0" fontId="15" fillId="0" borderId="9" xfId="0" applyFont="1" applyFill="1" applyBorder="1"/>
    <xf numFmtId="0" fontId="60" fillId="0" borderId="6" xfId="0" applyFont="1" applyFill="1" applyBorder="1" applyAlignment="1">
      <alignment horizontal="left"/>
    </xf>
    <xf numFmtId="0" fontId="60" fillId="0" borderId="0" xfId="0" applyFont="1" applyFill="1" applyBorder="1" applyAlignment="1">
      <alignment horizontal="left"/>
    </xf>
    <xf numFmtId="0" fontId="60" fillId="0" borderId="2" xfId="0" applyFont="1" applyFill="1" applyBorder="1" applyAlignment="1">
      <alignment horizontal="left"/>
    </xf>
    <xf numFmtId="0" fontId="60" fillId="0" borderId="2" xfId="0" applyFont="1" applyFill="1" applyBorder="1" applyAlignment="1">
      <alignment horizontal="left" vertical="center"/>
    </xf>
    <xf numFmtId="43" fontId="60" fillId="0" borderId="2" xfId="58" applyNumberFormat="1" applyFont="1" applyFill="1" applyBorder="1" applyAlignment="1">
      <alignment horizontal="left"/>
    </xf>
    <xf numFmtId="14" fontId="60" fillId="0" borderId="2" xfId="0" applyNumberFormat="1" applyFont="1" applyFill="1" applyBorder="1"/>
    <xf numFmtId="0" fontId="60" fillId="0" borderId="0" xfId="0" applyFont="1" applyFill="1" applyBorder="1"/>
    <xf numFmtId="0" fontId="15" fillId="0" borderId="3" xfId="0" applyFont="1" applyFill="1" applyBorder="1" applyAlignment="1">
      <alignment horizontal="left" vertical="center"/>
    </xf>
    <xf numFmtId="0" fontId="39" fillId="8" borderId="0" xfId="0" applyFont="1" applyFill="1"/>
    <xf numFmtId="0" fontId="61" fillId="8" borderId="0" xfId="0" applyFont="1" applyFill="1"/>
    <xf numFmtId="0" fontId="24" fillId="6" borderId="17" xfId="0" applyFont="1" applyFill="1" applyBorder="1" applyAlignment="1">
      <alignment vertical="center"/>
    </xf>
    <xf numFmtId="0" fontId="23" fillId="5" borderId="0" xfId="0" applyNumberFormat="1" applyFont="1" applyFill="1" applyBorder="1" applyAlignment="1">
      <alignment horizontal="right"/>
    </xf>
    <xf numFmtId="1" fontId="23" fillId="5" borderId="0" xfId="0" applyNumberFormat="1" applyFont="1" applyFill="1" applyBorder="1" applyAlignment="1">
      <alignment horizontal="right"/>
    </xf>
    <xf numFmtId="0" fontId="0" fillId="5" borderId="0" xfId="0" applyFont="1" applyFill="1" applyBorder="1" applyAlignment="1">
      <alignment horizontal="left" indent="2"/>
    </xf>
    <xf numFmtId="0" fontId="4" fillId="6" borderId="0" xfId="733" applyFill="1"/>
    <xf numFmtId="0" fontId="64" fillId="8" borderId="0" xfId="0" applyFont="1" applyFill="1"/>
    <xf numFmtId="0" fontId="0" fillId="6" borderId="17" xfId="0" applyFill="1" applyBorder="1"/>
    <xf numFmtId="0" fontId="16" fillId="6" borderId="0" xfId="0" applyFont="1" applyFill="1"/>
    <xf numFmtId="0" fontId="21" fillId="10" borderId="0" xfId="0" applyFont="1" applyFill="1" applyBorder="1"/>
    <xf numFmtId="0" fontId="63" fillId="8" borderId="0" xfId="733" applyFont="1" applyFill="1"/>
    <xf numFmtId="0" fontId="35" fillId="8" borderId="40" xfId="0" applyFont="1" applyFill="1" applyBorder="1" applyAlignment="1">
      <alignment vertical="center"/>
    </xf>
    <xf numFmtId="0" fontId="35" fillId="8" borderId="40" xfId="0" applyFont="1" applyFill="1" applyBorder="1" applyAlignment="1">
      <alignment horizontal="right" vertical="center"/>
    </xf>
    <xf numFmtId="0" fontId="0" fillId="5" borderId="30" xfId="0" applyFont="1" applyFill="1" applyBorder="1"/>
    <xf numFmtId="166" fontId="9" fillId="5" borderId="0" xfId="0" applyNumberFormat="1" applyFont="1" applyFill="1" applyBorder="1" applyAlignment="1">
      <alignment horizontal="right"/>
    </xf>
    <xf numFmtId="3" fontId="9" fillId="5" borderId="30" xfId="0" applyNumberFormat="1" applyFont="1" applyFill="1" applyBorder="1"/>
    <xf numFmtId="166" fontId="0" fillId="5" borderId="30" xfId="0" applyNumberFormat="1" applyFont="1" applyFill="1" applyBorder="1" applyAlignment="1">
      <alignment horizontal="right"/>
    </xf>
    <xf numFmtId="167" fontId="0" fillId="5" borderId="30" xfId="0" applyNumberFormat="1" applyFont="1" applyFill="1" applyBorder="1" applyAlignment="1">
      <alignment horizontal="right"/>
    </xf>
    <xf numFmtId="0" fontId="9" fillId="5" borderId="30" xfId="0" applyFont="1" applyFill="1" applyBorder="1" applyAlignment="1">
      <alignment horizontal="left" indent="1"/>
    </xf>
    <xf numFmtId="0" fontId="66" fillId="0" borderId="6" xfId="0" applyFont="1" applyFill="1" applyBorder="1" applyAlignment="1">
      <alignment horizontal="left"/>
    </xf>
    <xf numFmtId="0" fontId="66" fillId="0" borderId="2" xfId="0" applyFont="1" applyFill="1" applyBorder="1" applyAlignment="1">
      <alignment horizontal="left"/>
    </xf>
    <xf numFmtId="0" fontId="66" fillId="0" borderId="2" xfId="0" applyFont="1" applyFill="1" applyBorder="1"/>
    <xf numFmtId="0" fontId="66" fillId="0" borderId="2" xfId="0" applyFont="1" applyFill="1" applyBorder="1" applyAlignment="1">
      <alignment horizontal="left" vertical="center"/>
    </xf>
    <xf numFmtId="43" fontId="66" fillId="0" borderId="2" xfId="58" applyNumberFormat="1" applyFont="1" applyFill="1" applyBorder="1" applyAlignment="1">
      <alignment horizontal="left"/>
    </xf>
    <xf numFmtId="14" fontId="66" fillId="0" borderId="2" xfId="0" applyNumberFormat="1" applyFont="1" applyFill="1" applyBorder="1"/>
    <xf numFmtId="14" fontId="66" fillId="0" borderId="6" xfId="0" applyNumberFormat="1" applyFont="1" applyFill="1" applyBorder="1"/>
    <xf numFmtId="0" fontId="66" fillId="0" borderId="2" xfId="0" applyNumberFormat="1" applyFont="1" applyFill="1" applyBorder="1"/>
    <xf numFmtId="0" fontId="66" fillId="0" borderId="1" xfId="0" applyNumberFormat="1" applyFont="1" applyFill="1" applyBorder="1"/>
    <xf numFmtId="43" fontId="66" fillId="0" borderId="2" xfId="58" applyFont="1" applyFill="1" applyBorder="1"/>
    <xf numFmtId="43" fontId="66" fillId="0" borderId="2" xfId="58" applyNumberFormat="1" applyFont="1" applyFill="1" applyBorder="1"/>
    <xf numFmtId="172" fontId="0" fillId="6" borderId="0" xfId="0" applyNumberFormat="1" applyFill="1"/>
    <xf numFmtId="0" fontId="24" fillId="7" borderId="23" xfId="0" applyFont="1" applyFill="1" applyBorder="1" applyAlignment="1">
      <alignment horizontal="center"/>
    </xf>
    <xf numFmtId="0" fontId="24" fillId="7" borderId="25" xfId="0" applyFont="1" applyFill="1" applyBorder="1" applyAlignment="1">
      <alignment horizontal="center"/>
    </xf>
    <xf numFmtId="0" fontId="24" fillId="7" borderId="24" xfId="0" applyFont="1" applyFill="1" applyBorder="1" applyAlignment="1">
      <alignment horizontal="center"/>
    </xf>
    <xf numFmtId="0" fontId="36" fillId="9" borderId="23" xfId="0" applyFont="1" applyFill="1" applyBorder="1" applyAlignment="1">
      <alignment horizontal="center"/>
    </xf>
    <xf numFmtId="0" fontId="36" fillId="9" borderId="25" xfId="0" applyFont="1" applyFill="1" applyBorder="1" applyAlignment="1">
      <alignment horizontal="center"/>
    </xf>
    <xf numFmtId="0" fontId="36" fillId="9" borderId="36" xfId="0" applyFont="1" applyFill="1" applyBorder="1" applyAlignment="1">
      <alignment horizontal="center"/>
    </xf>
    <xf numFmtId="0" fontId="0" fillId="5" borderId="0" xfId="0" applyFill="1" applyAlignment="1">
      <alignment wrapText="1"/>
    </xf>
    <xf numFmtId="0" fontId="31" fillId="5" borderId="30" xfId="0" applyFont="1" applyFill="1" applyBorder="1" applyAlignment="1">
      <alignment horizontal="center"/>
    </xf>
    <xf numFmtId="11" fontId="0" fillId="6" borderId="20" xfId="0" applyNumberFormat="1" applyFont="1" applyFill="1" applyBorder="1" applyAlignment="1">
      <alignment horizontal="center"/>
    </xf>
    <xf numFmtId="11" fontId="0" fillId="6" borderId="22" xfId="0" applyNumberFormat="1" applyFont="1" applyFill="1" applyBorder="1" applyAlignment="1">
      <alignment horizontal="center"/>
    </xf>
    <xf numFmtId="0" fontId="29" fillId="5" borderId="30" xfId="0" applyFont="1" applyFill="1" applyBorder="1" applyAlignment="1">
      <alignment horizontal="center"/>
    </xf>
    <xf numFmtId="0" fontId="29" fillId="6" borderId="30" xfId="0" applyFont="1" applyFill="1" applyBorder="1" applyAlignment="1">
      <alignment horizontal="center"/>
    </xf>
    <xf numFmtId="0" fontId="24" fillId="5" borderId="11" xfId="0" applyFont="1" applyFill="1" applyBorder="1" applyAlignment="1">
      <alignment horizontal="center" vertical="center"/>
    </xf>
    <xf numFmtId="0" fontId="24" fillId="5" borderId="12" xfId="0" applyFont="1" applyFill="1" applyBorder="1" applyAlignment="1">
      <alignment horizontal="center" vertical="center"/>
    </xf>
    <xf numFmtId="0" fontId="24" fillId="5" borderId="13" xfId="0" applyFont="1" applyFill="1" applyBorder="1" applyAlignment="1">
      <alignment horizontal="center" vertical="center"/>
    </xf>
    <xf numFmtId="0" fontId="24" fillId="6" borderId="17" xfId="0" applyFont="1" applyFill="1" applyBorder="1" applyAlignment="1">
      <alignment horizontal="center" vertical="center"/>
    </xf>
    <xf numFmtId="0" fontId="0" fillId="6" borderId="22" xfId="0" applyFont="1" applyFill="1" applyBorder="1" applyAlignment="1">
      <alignment horizontal="center"/>
    </xf>
    <xf numFmtId="0" fontId="24" fillId="5" borderId="17" xfId="0" applyFont="1" applyFill="1" applyBorder="1" applyAlignment="1">
      <alignment horizontal="center"/>
    </xf>
    <xf numFmtId="0" fontId="24" fillId="5" borderId="0" xfId="0" applyFont="1" applyFill="1" applyBorder="1" applyAlignment="1">
      <alignment horizontal="center"/>
    </xf>
    <xf numFmtId="0" fontId="9" fillId="5" borderId="0" xfId="0" applyFont="1" applyFill="1" applyBorder="1" applyAlignment="1">
      <alignment wrapText="1"/>
    </xf>
    <xf numFmtId="0" fontId="13" fillId="0" borderId="0" xfId="0" applyFont="1" applyFill="1" applyAlignment="1">
      <alignment horizontal="left" vertical="top" wrapText="1"/>
    </xf>
    <xf numFmtId="0" fontId="0" fillId="0" borderId="0" xfId="0"/>
    <xf numFmtId="0" fontId="13" fillId="0" borderId="0" xfId="0" applyFont="1" applyFill="1" applyAlignment="1">
      <alignment horizontal="left"/>
    </xf>
    <xf numFmtId="0" fontId="11" fillId="0" borderId="0" xfId="0" applyFont="1" applyFill="1" applyAlignment="1">
      <alignment horizontal="left"/>
    </xf>
  </cellXfs>
  <cellStyles count="734">
    <cellStyle name="Bad" xfId="47" builtinId="27"/>
    <cellStyle name="Comma" xfId="58" builtinId="3"/>
    <cellStyle name="Comma 8" xfId="59" xr:uid="{00000000-0005-0000-0000-000002000000}"/>
    <cellStyle name="Comma 9" xfId="173" xr:uid="{00000000-0005-0000-0000-000003000000}"/>
    <cellStyle name="Currency" xfId="56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3" builtinId="8"/>
    <cellStyle name="Normal" xfId="0" builtinId="0"/>
    <cellStyle name="Normal 35" xfId="298" xr:uid="{00000000-0005-0000-0000-0000DA020000}"/>
    <cellStyle name="Percent" xfId="732" builtinId="5"/>
    <cellStyle name="Percent 5" xfId="172" xr:uid="{00000000-0005-0000-0000-0000DC020000}"/>
  </cellStyles>
  <dxfs count="216">
    <dxf>
      <numFmt numFmtId="165" formatCode="0.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indexed="8"/>
        <name val="Arial"/>
        <scheme val="none"/>
      </font>
      <numFmt numFmtId="164" formatCode="#0.0"/>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right" vertical="bottom" textRotation="0" wrapText="0" indent="0" justifyLastLine="0" shrinkToFit="0" readingOrder="0"/>
    </dxf>
    <dxf>
      <border outline="0">
        <bottom style="thick">
          <color auto="1"/>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border diagonalUp="0" diagonalDown="0" outline="0">
        <left/>
        <right/>
        <top style="thin">
          <color theme="0"/>
        </top>
        <bottom/>
      </border>
    </dxf>
    <dxf>
      <font>
        <b val="0"/>
        <i val="0"/>
        <strike val="0"/>
        <condense val="0"/>
        <extend val="0"/>
        <outline val="0"/>
        <shadow val="0"/>
        <u val="none"/>
        <vertAlign val="baseline"/>
        <sz val="12"/>
        <color theme="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scheme val="minor"/>
      </font>
    </dxf>
    <dxf>
      <numFmt numFmtId="1" formatCode="0"/>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numFmt numFmtId="0" formatCode="General"/>
    </dxf>
    <dxf>
      <numFmt numFmtId="35" formatCode="_(* #,##0.00_);_(* \(#,##0.00\);_(* &quot;-&quot;??_);_(@_)"/>
    </dxf>
    <dxf>
      <numFmt numFmtId="35" formatCode="_(* #,##0.00_);_(* \(#,##0.00\);_(* &quot;-&quot;??_);_(@_)"/>
    </dxf>
    <dxf>
      <numFmt numFmtId="13" formatCode="0%"/>
    </dxf>
    <dxf>
      <numFmt numFmtId="13" formatCode="0%"/>
    </dxf>
    <dxf>
      <numFmt numFmtId="2" formatCode="0.00"/>
    </dxf>
    <dxf>
      <numFmt numFmtId="13" formatCode="0%"/>
    </dxf>
    <dxf>
      <numFmt numFmtId="0" formatCode="General"/>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numFmt numFmtId="1" formatCode="0"/>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0" formatCode="General"/>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fill>
        <patternFill patternType="none">
          <fgColor indexed="64"/>
          <bgColor auto="1"/>
        </patternFill>
      </fill>
      <border diagonalUp="0" diagonalDown="0" outline="0">
        <left style="thin">
          <color theme="0"/>
        </left>
        <right/>
        <top style="thin">
          <color theme="0"/>
        </top>
        <bottom/>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numFmt numFmtId="19" formatCode="m/d/yy"/>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numFmt numFmtId="35" formatCode="_(* #,##0.00_);_(* \(#,##0.00\);_(* &quot;-&quot;??_);_(@_)"/>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strike val="0"/>
        <outline val="0"/>
        <shadow val="0"/>
        <u val="none"/>
        <vertAlign val="baseline"/>
        <sz val="12"/>
        <color auto="1"/>
        <name val="Calibri"/>
        <scheme val="minor"/>
      </font>
      <fill>
        <patternFill patternType="none">
          <fgColor indexed="64"/>
          <bgColor indexed="6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left" vertical="bottom" textRotation="0" wrapText="0" indent="0" justifyLastLine="0" shrinkToFit="0" readingOrder="0"/>
      <border diagonalUp="0" diagonalDown="0">
        <left/>
        <right/>
        <top style="thin">
          <color theme="0"/>
        </top>
        <bottom/>
        <vertical/>
        <horizontal/>
      </border>
    </dxf>
    <dxf>
      <font>
        <b val="0"/>
        <i val="0"/>
        <strike val="0"/>
        <condense val="0"/>
        <extend val="0"/>
        <outline val="0"/>
        <shadow val="0"/>
        <u val="none"/>
        <vertAlign val="baseline"/>
        <sz val="12"/>
        <color auto="1"/>
        <name val="Calibri"/>
        <scheme val="minor"/>
      </font>
      <fill>
        <patternFill patternType="none">
          <fgColor indexed="64"/>
          <bgColor auto="1"/>
        </patternFill>
      </fill>
    </dxf>
    <dxf>
      <font>
        <b/>
        <i val="0"/>
        <strike val="0"/>
        <condense val="0"/>
        <extend val="0"/>
        <outline val="0"/>
        <shadow val="0"/>
        <u val="none"/>
        <vertAlign val="baseline"/>
        <sz val="12"/>
        <color theme="0"/>
        <name val="Calibri"/>
        <scheme val="minor"/>
      </font>
      <fill>
        <patternFill patternType="none">
          <fgColor indexed="64"/>
          <bgColor auto="1"/>
        </patternFill>
      </fill>
      <border diagonalUp="0" diagonalDown="0" outline="0">
        <left style="thin">
          <color theme="0"/>
        </left>
        <right style="thin">
          <color theme="0"/>
        </right>
        <top/>
        <bottom/>
      </border>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4506668294322"/>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bgColor theme="5" tint="0.3999450666829432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rgb="FF9C0006"/>
      </font>
      <fill>
        <patternFill patternType="solid">
          <fgColor indexed="64"/>
          <bgColor theme="5" tint="0.79998168889431442"/>
        </patternFill>
      </fill>
    </dxf>
    <dxf>
      <font>
        <color rgb="FF9C0006"/>
      </font>
      <fill>
        <patternFill patternType="solid">
          <fgColor indexed="64"/>
          <bgColor theme="5" tint="0.79998168889431442"/>
        </patternFill>
      </fill>
    </dxf>
    <dxf>
      <fill>
        <patternFill>
          <bgColor theme="5" tint="0.39994506668294322"/>
        </patternFill>
      </fill>
    </dxf>
    <dxf>
      <font>
        <color theme="1" tint="0.34998626667073579"/>
      </font>
      <fill>
        <patternFill>
          <bgColor theme="0" tint="-0.14996795556505021"/>
        </patternFill>
      </fill>
    </dxf>
    <dxf>
      <font>
        <color rgb="FF9C0006"/>
      </font>
      <fill>
        <patternFill patternType="solid">
          <fgColor indexed="64"/>
          <bgColor theme="5" tint="0.79998168889431442"/>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theme="1" tint="0.34998626667073579"/>
      </font>
      <fill>
        <patternFill>
          <bgColor theme="0" tint="-0.149967955565050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
      <font>
        <color rgb="FF9C0006"/>
      </font>
      <fill>
        <patternFill patternType="solid">
          <fgColor indexed="64"/>
          <bgColor theme="5" tint="0.39997558519241921"/>
        </patternFill>
      </fill>
    </dxf>
  </dxfs>
  <tableStyles count="0" defaultTableStyle="TableStyleMedium9" defaultPivotStyle="PivotStyleMedium4"/>
  <colors>
    <mruColors>
      <color rgb="FF215967"/>
      <color rgb="FF810D00"/>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RawMaterials" displayName="RawMaterials" ref="A15:AM629" totalsRowShown="0" headerRowDxfId="107" dataDxfId="106">
  <autoFilter ref="A15:AM629" xr:uid="{00000000-0009-0000-0100-000006000000}"/>
  <sortState xmlns:xlrd2="http://schemas.microsoft.com/office/spreadsheetml/2017/richdata2" ref="A16:AM621">
    <sortCondition ref="A15:A621"/>
  </sortState>
  <tableColumns count="39">
    <tableColumn id="1" xr3:uid="{00000000-0010-0000-0000-000001000000}" name="Material Name" dataDxfId="105"/>
    <tableColumn id="2" xr3:uid="{00000000-0010-0000-0000-000002000000}" name="Material Type" dataDxfId="104"/>
    <tableColumn id="3" xr3:uid="{00000000-0010-0000-0000-000003000000}" name="MW (g/mol)" dataDxfId="103"/>
    <tableColumn id="4" xr3:uid="{00000000-0010-0000-0000-000004000000}" name="Density (g/mL)" dataDxfId="102"/>
    <tableColumn id="5" xr3:uid="{00000000-0010-0000-0000-000005000000}" name="Concentration (%)" dataDxfId="101"/>
    <tableColumn id="6" xr3:uid="{00000000-0010-0000-0000-000006000000}" name="Lab-Scale Log Fit?" dataDxfId="100"/>
    <tableColumn id="7" xr3:uid="{00000000-0010-0000-0000-000007000000}" name="Lab Quantity 1" dataDxfId="99"/>
    <tableColumn id="8" xr3:uid="{00000000-0010-0000-0000-000008000000}" name="Lab Quantity 2" dataDxfId="98"/>
    <tableColumn id="9" xr3:uid="{00000000-0010-0000-0000-000009000000}" name="Lab Quantity 3" dataDxfId="97"/>
    <tableColumn id="10" xr3:uid="{00000000-0010-0000-0000-00000A000000}" name="Lab Quantity 4" dataDxfId="96"/>
    <tableColumn id="11" xr3:uid="{00000000-0010-0000-0000-00000B000000}" name="Lab Units" dataDxfId="95"/>
    <tableColumn id="12" xr3:uid="{00000000-0010-0000-0000-00000C000000}" name="Lab Price 1" dataDxfId="94"/>
    <tableColumn id="13" xr3:uid="{00000000-0010-0000-0000-00000D000000}" name="Lab Price 2" dataDxfId="93"/>
    <tableColumn id="14" xr3:uid="{00000000-0010-0000-0000-00000E000000}" name="Lab Price 3" dataDxfId="92"/>
    <tableColumn id="15" xr3:uid="{00000000-0010-0000-0000-00000F000000}" name="Lab Price 4" dataDxfId="91"/>
    <tableColumn id="29" xr3:uid="{00000000-0010-0000-0000-00001D000000}" name="Bulk Quote Price ($)" dataDxfId="90" dataCellStyle="Comma"/>
    <tableColumn id="30" xr3:uid="{00000000-0010-0000-0000-00001E000000}" name="Bulk Quote Quantity" dataDxfId="89"/>
    <tableColumn id="31" xr3:uid="{00000000-0010-0000-0000-00001F000000}" name="Bulk Quote Units" dataDxfId="88"/>
    <tableColumn id="32" xr3:uid="{00000000-0010-0000-0000-000020000000}" name="Quote Year" dataDxfId="87"/>
    <tableColumn id="33" xr3:uid="{00000000-0010-0000-0000-000021000000}" name="Quote Source" dataDxfId="86"/>
    <tableColumn id="34" xr3:uid="{00000000-0010-0000-0000-000022000000}" name="Quote Access Date" dataDxfId="85"/>
    <tableColumn id="41" xr3:uid="{00000000-0010-0000-0000-000029000000}" name="Notes" dataDxfId="84"/>
    <tableColumn id="16" xr3:uid="{00000000-0010-0000-0000-000010000000}" name="Lab Quote Count" dataDxfId="83">
      <calculatedColumnFormula>COUNT(RawMaterials[[#This Row],[Lab Quantity 1]:[Lab Quantity 4]])</calculatedColumnFormula>
    </tableColumn>
    <tableColumn id="17" xr3:uid="{00000000-0010-0000-0000-000011000000}" name="Lab Q Model Units 1" dataDxfId="82">
      <calculatedColumnFormula>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calculatedColumnFormula>
    </tableColumn>
    <tableColumn id="18" xr3:uid="{00000000-0010-0000-0000-000012000000}" name="Lab Q Model Units 2" dataDxfId="81">
      <calculatedColumnFormula>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calculatedColumnFormula>
    </tableColumn>
    <tableColumn id="19" xr3:uid="{00000000-0010-0000-0000-000013000000}" name="Lab Q Model Units 3" dataDxfId="80">
      <calculatedColumnFormula>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calculatedColumnFormula>
    </tableColumn>
    <tableColumn id="20" xr3:uid="{00000000-0010-0000-0000-000014000000}" name="Lab Q Model Units 4" dataDxfId="79">
      <calculatedColumnFormula>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calculatedColumnFormula>
    </tableColumn>
    <tableColumn id="21" xr3:uid="{00000000-0010-0000-0000-000015000000}" name="Lab Unit P 1" dataDxfId="78">
      <calculatedColumnFormula>RawMaterials[[#This Row],[Lab Price 1]]/RawMaterials[[#This Row],[Lab Q Model Units 1]]</calculatedColumnFormula>
    </tableColumn>
    <tableColumn id="22" xr3:uid="{00000000-0010-0000-0000-000016000000}" name="Lab Unit P 2" dataDxfId="77">
      <calculatedColumnFormula>RawMaterials[[#This Row],[Lab Price 2]]/RawMaterials[[#This Row],[Lab Q Model Units 2]]</calculatedColumnFormula>
    </tableColumn>
    <tableColumn id="23" xr3:uid="{00000000-0010-0000-0000-000017000000}" name="Lab Unit P 3" dataDxfId="76">
      <calculatedColumnFormula>RawMaterials[[#This Row],[Lab Price 3]]/RawMaterials[[#This Row],[Lab Q Model Units 3]]</calculatedColumnFormula>
    </tableColumn>
    <tableColumn id="24" xr3:uid="{00000000-0010-0000-0000-000018000000}" name="Lab Unit P 4" dataDxfId="75">
      <calculatedColumnFormula>RawMaterials[[#This Row],[Lab Price 4]]/RawMaterials[[#This Row],[Lab Q Model Units 4]]</calculatedColumnFormula>
    </tableColumn>
    <tableColumn id="25" xr3:uid="{00000000-0010-0000-0000-000019000000}" name="Lab Log-Log Slope" dataDxfId="74">
      <calculatedColumnFormula>IF(RawMaterials[[#This Row],[Lab Quote Count]]&gt;1,SLOPE(LOG(INDIRECT("RawMaterials[@[Lab Unit P 1]:[Lab Unit P "&amp;RawMaterials[[#This Row],[Lab Quote Count]]&amp;"]]")),LOG(INDIRECT("RawMaterials[@[Lab Q Model Units 1]:[Lab Q Model Units "&amp;RawMaterials[[#This Row],[Lab Quote Count]]&amp;"]]"))),"")</calculatedColumnFormula>
    </tableColumn>
    <tableColumn id="26" xr3:uid="{00000000-0010-0000-0000-00001A000000}" name="Lab Log-Log Intercept" dataDxfId="73">
      <calculatedColumnFormula>IF(RawMaterials[[#This Row],[Lab Quote Count]]&gt;1,INTERCEPT(LOG(INDIRECT("RawMaterials[@[Lab Unit P 1]:[Lab Unit P "&amp;RawMaterials[[#This Row],[Lab Quote Count]]&amp;"]]")),LOG(INDIRECT("RawMaterials[@[Lab Q Model Units 1]:[Lab Q Model Units "&amp;RawMaterials[[#This Row],[Lab Quote Count]]&amp;"]]"))),"")</calculatedColumnFormula>
    </tableColumn>
    <tableColumn id="27" xr3:uid="{00000000-0010-0000-0000-00001B000000}" name="Basis Cell" dataDxfId="72">
      <calculatedColumnFormula>IF(RawMaterials[[#This Row],[Material Type]]="Metal Precursor","D13",IF(RawMaterials[[#This Row],[Material Type]]="Ligand","D13","D12"))</calculatedColumnFormula>
    </tableColumn>
    <tableColumn id="28" xr3:uid="{00000000-0010-0000-0000-00001C000000}" name="Lab Forecast Unit Price (Output Mass Units)" dataDxfId="71" dataCellStyle="Comma">
      <calculatedColumnFormula>IF(RawMaterials[[#This Row],[Lab Quote Count]]&gt;1,10^RawMaterials[[#This Row],[Lab Log-Log Intercept]]*INDIRECT(RawMaterials[[#This Row],[Basis Cell]])^RawMaterials[[#This Row],[Lab Log-Log Slope]],"&gt;&gt;&gt; Enter 2 or more lab quotes &lt;&lt;&lt;")</calculatedColumnFormula>
    </tableColumn>
    <tableColumn id="37" xr3:uid="{00000000-0010-0000-0000-000025000000}" name="Bulk quote quantity in model units" dataDxfId="70">
      <calculatedColumnFormula>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calculatedColumnFormula>
    </tableColumn>
    <tableColumn id="38" xr3:uid="{00000000-0010-0000-0000-000026000000}" name="Unit price in quote year" dataDxfId="69" dataCellStyle="Comma">
      <calculatedColumnFormula>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calculatedColumnFormula>
    </tableColumn>
    <tableColumn id="39" xr3:uid="{00000000-0010-0000-0000-000027000000}" name="Unit price" dataDxfId="68" dataCellStyle="Comma">
      <calculatedColumnFormula>IF(ISTEXT(RawMaterials[[#This Row],[Unit price in quote year]]),"Check calcs",RawMaterials[[#This Row],[Unit price in quote year]]/VLOOKUP(RawMaterials[[#This Row],[Quote Year]],ChemPPI[],14,FALSE)*VLOOKUP(BasisYear,ChemPPI[],14,FALSE))</calculatedColumnFormula>
    </tableColumn>
    <tableColumn id="40" xr3:uid="{00000000-0010-0000-0000-000028000000}" name="Unit price dimensions" dataDxfId="67">
      <calculatedColumnFormula>CurrencySymbol&amp;"/"&amp;OutMassUnit&amp;" ("&amp;BasisYear&amp;")"</calculatedColumnFormula>
    </tableColumn>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4283EC-D4B3-6B46-A8F0-99BF97238AAD}" name="Steps" displayName="Steps" ref="A4:E25" totalsRowShown="0">
  <autoFilter ref="A4:E25" xr:uid="{900DB31D-0C24-F74F-B171-39C55D02093B}"/>
  <sortState xmlns:xlrd2="http://schemas.microsoft.com/office/spreadsheetml/2017/richdata2" ref="A5:E25">
    <sortCondition ref="A4:A25"/>
  </sortState>
  <tableColumns count="5">
    <tableColumn id="1" xr3:uid="{D0769391-293B-0845-BF0F-BA452D5B8804}" name="Step Name"/>
    <tableColumn id="2" xr3:uid="{3AB22856-E5F9-7045-82E4-555A3B89B698}" name="Small (1 ton/day)"/>
    <tableColumn id="3" xr3:uid="{752979D4-5160-2544-AB18-F680AF6263EE}" name="Medium (10 ton/day)"/>
    <tableColumn id="4" xr3:uid="{60B5F1B9-A899-1A41-949C-C2E649702664}" name="Large (150 ton/day)"/>
    <tableColumn id="5" xr3:uid="{05AC202A-CCCE-7A4E-AF36-25505898F24A}"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Spent1" displayName="Spent1" ref="A4:V12" totalsRowShown="0" headerRowDxfId="66">
  <autoFilter ref="A4:V12" xr:uid="{00000000-0009-0000-0100-000005000000}"/>
  <tableColumns count="22">
    <tableColumn id="1" xr3:uid="{00000000-0010-0000-0100-000001000000}" name="Support"/>
    <tableColumn id="2" xr3:uid="{00000000-0010-0000-0100-000002000000}" name="Fixed bed: Loss of support in use, low, %" dataDxfId="65"/>
    <tableColumn id="15" xr3:uid="{0187E017-54FE-3143-8DEF-0037C282D222}" name="Fixed bed: Loss of support in use, high, %" dataDxfId="64"/>
    <tableColumn id="16" xr3:uid="{DFB9E1D9-5F3F-7145-8AAC-5BDCF732DB50}" name="Fixed bed: Loss of support in use, ave, %" dataDxfId="63"/>
    <tableColumn id="3" xr3:uid="{00000000-0010-0000-0100-000003000000}" name="Fixed bed: Loss of metal in use, low, %" dataDxfId="62"/>
    <tableColumn id="17" xr3:uid="{CFDC113C-0680-F54D-BBE8-E3A81CB00FBF}" name="Fixed bed: Loss of metal in use, high, %" dataDxfId="61"/>
    <tableColumn id="18" xr3:uid="{22BA5559-C940-6444-BA81-D98A7BC14D3F}" name="Fixed bed: Loss of metal in use, ave, %" dataDxfId="60"/>
    <tableColumn id="4" xr3:uid="{00000000-0010-0000-0100-000004000000}" name="Slurry/fluidized bed: Loss of support in use, low, %" dataDxfId="59"/>
    <tableColumn id="19" xr3:uid="{0F7CD308-5A8B-044D-A88A-2EC1DE06E122}" name="Slurry/fluidized bed: Loss of support in use, high, %" dataDxfId="58"/>
    <tableColumn id="20" xr3:uid="{BC8FEF08-78A5-ED47-B395-55ADA103A675}" name="Slurry/fluidized bed: Loss of support in use, ave, %" dataDxfId="57"/>
    <tableColumn id="5" xr3:uid="{00000000-0010-0000-0100-000005000000}" name="Slurry/fluidized bed: Loss of metal in use, low, %" dataDxfId="56"/>
    <tableColumn id="21" xr3:uid="{BB80297E-FF34-2249-AD5D-2E76301B2AFD}" name="Slurry/fluidized bed: Loss of metal in use, high, %" dataDxfId="55"/>
    <tableColumn id="22" xr3:uid="{DCF994D1-DA9E-0A48-A8E6-A4F9709738B7}" name="Slurry/fluidized bed: Loss of metal in use, ave, %" dataDxfId="54"/>
    <tableColumn id="6" xr3:uid="{00000000-0010-0000-0100-000006000000}" name="Thermal ox. fee, low, $/lb" dataDxfId="53"/>
    <tableColumn id="7" xr3:uid="{00000000-0010-0000-0100-000007000000}" name="Thermal ox. fee, high, $/lb" dataDxfId="52"/>
    <tableColumn id="8" xr3:uid="{00000000-0010-0000-0100-000008000000}" name="Thermal ox. fee, ave, $/lb" dataDxfId="51">
      <calculatedColumnFormula>AVERAGE(N5:O5)</calculatedColumnFormula>
    </tableColumn>
    <tableColumn id="9" xr3:uid="{00000000-0010-0000-0100-000009000000}" name="Incoming fee, low, $/ft3" dataDxfId="50"/>
    <tableColumn id="10" xr3:uid="{00000000-0010-0000-0100-00000A000000}" name="Incoming fee, high, $/ft3" dataDxfId="49"/>
    <tableColumn id="11" xr3:uid="{00000000-0010-0000-0100-00000B000000}" name="Incoming fee, ave, $/ft3" dataDxfId="48">
      <calculatedColumnFormula>AVERAGE(Q5:R5)</calculatedColumnFormula>
    </tableColumn>
    <tableColumn id="12" xr3:uid="{00000000-0010-0000-0100-00000C000000}" name="Metal contaminant fee, low, $/ft3" dataDxfId="47"/>
    <tableColumn id="13" xr3:uid="{00000000-0010-0000-0100-00000D000000}" name="Metal contaminant fee, high, $/ft3" dataDxfId="46"/>
    <tableColumn id="14" xr3:uid="{00000000-0010-0000-0100-00000E000000}" name="Metal contaminant fee, ave, $/ft3" dataDxfId="45">
      <calculatedColumnFormula>AVERAGE(T5:U5)</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Spent2" displayName="Spent2" ref="A15:N29" totalsRowShown="0" headerRowDxfId="44">
  <autoFilter ref="A15:N29" xr:uid="{00000000-0009-0000-0100-000007000000}"/>
  <tableColumns count="14">
    <tableColumn id="1" xr3:uid="{00000000-0010-0000-0200-000001000000}" name="Metal"/>
    <tableColumn id="2" xr3:uid="{00000000-0010-0000-0200-000002000000}" name="Loss during refining, low, %" dataDxfId="43"/>
    <tableColumn id="3" xr3:uid="{00000000-0010-0000-0200-000003000000}" name="Loss during refining, high, %" dataDxfId="42"/>
    <tableColumn id="4" xr3:uid="{00000000-0010-0000-0200-000004000000}" name="Loss during refining, ave, %" dataDxfId="41"/>
    <tableColumn id="5" xr3:uid="{00000000-0010-0000-0200-000005000000}" name="Refining charge, $/troy oz recovered" dataDxfId="40"/>
    <tableColumn id="6" xr3:uid="{00000000-0010-0000-0200-000006000000}" name="PGM/Noble (Refining charge yes/no)" dataDxfId="39"/>
    <tableColumn id="7" xr3:uid="{00000000-0010-0000-0200-000007000000}" name="Note" dataDxfId="38"/>
    <tableColumn id="8" xr3:uid="{00000000-0010-0000-0200-000008000000}" name="Spot Price ($)" dataDxfId="37"/>
    <tableColumn id="9" xr3:uid="{00000000-0010-0000-0200-000009000000}" name="Unit" dataDxfId="36"/>
    <tableColumn id="10" xr3:uid="{00000000-0010-0000-0200-00000A000000}" name="Year"/>
    <tableColumn id="11" xr3:uid="{00000000-0010-0000-0200-00000B000000}" name="Source" dataDxfId="35"/>
    <tableColumn id="12" xr3:uid="{00000000-0010-0000-0200-00000C000000}" name="Price $ / Model Mass Unit" dataDxfId="34">
      <calculatedColumnFormula>Spent2[[#This Row],[Spot Price ($)]]*VLOOKUP(OutMassUnit,UnitConv[],5,FALSE)/VLOOKUP(Spent2[[#This Row],[Unit]],UnitConv[],5,FALSE)</calculatedColumnFormula>
    </tableColumn>
    <tableColumn id="13" xr3:uid="{00000000-0010-0000-0200-00000D000000}" name="Price Scaled to Basis Year" dataDxfId="33">
      <calculatedColumnFormula>Spent2[[#This Row],[Price $ / Model Mass Unit]]/VLOOKUP(Spent2[[#This Row],[Year]],ChemPPI[],14,FALSE)*VLOOKUP(BasisYear,ChemPPI[],14,FALSE)</calculatedColumnFormula>
    </tableColumn>
    <tableColumn id="14" xr3:uid="{00000000-0010-0000-0200-00000E000000}" name="Units" dataDxfId="32">
      <calculatedColumnFormula>CurrencySymbol&amp;"/"&amp;OutMassUnit&amp;" ("&amp;BasisYear&amp;")"</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Spent3" displayName="Spent3" ref="A32:H36" totalsRowShown="0" headerRowDxfId="31">
  <autoFilter ref="A32:H36" xr:uid="{00000000-0009-0000-0100-000008000000}"/>
  <tableColumns count="8">
    <tableColumn id="1" xr3:uid="{00000000-0010-0000-0300-000001000000}" name="Catalyst Hazard Class"/>
    <tableColumn id="2" xr3:uid="{00000000-0010-0000-0300-000002000000}" name="Landfill fee, low, $/lb"/>
    <tableColumn id="3" xr3:uid="{00000000-0010-0000-0300-000003000000}" name="Landfill fee, high, $/lb"/>
    <tableColumn id="4" xr3:uid="{00000000-0010-0000-0300-000004000000}" name="Landfill fee, ave, $/lb">
      <calculatedColumnFormula>AVERAGE(B33:C33)</calculatedColumnFormula>
    </tableColumn>
    <tableColumn id="5" xr3:uid="{00000000-0010-0000-0300-000005000000}" name="Sale value, low, $/lb"/>
    <tableColumn id="6" xr3:uid="{00000000-0010-0000-0300-000006000000}" name="Sale value, high, $/lb"/>
    <tableColumn id="7" xr3:uid="{00000000-0010-0000-0300-000007000000}" name="Sale value, ave, $/lb"/>
    <tableColumn id="8" xr3:uid="{00000000-0010-0000-0300-000008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Spent4" displayName="Spent4" ref="A39:D50" totalsRowShown="0" headerRowDxfId="30">
  <autoFilter ref="A39:D50" xr:uid="{00000000-0009-0000-0100-000009000000}"/>
  <sortState xmlns:xlrd2="http://schemas.microsoft.com/office/spreadsheetml/2017/richdata2" ref="A40:D50">
    <sortCondition ref="A39:A50"/>
  </sortState>
  <tableColumns count="4">
    <tableColumn id="1" xr3:uid="{00000000-0010-0000-0400-000001000000}" name="Catalyst"/>
    <tableColumn id="2" xr3:uid="{00000000-0010-0000-0400-000002000000}" name="ρ (lb/ft3)"/>
    <tableColumn id="3" xr3:uid="{00000000-0010-0000-0400-000003000000}" name="ρ (kg/m3)" dataDxfId="29">
      <calculatedColumnFormula>Spent4[[#This Row],[ρ (lb/ft3)]]*0.45359237/28.31684659*1000</calculatedColumnFormula>
    </tableColumn>
    <tableColumn id="4" xr3:uid="{00000000-0010-0000-0400-000004000000}" name="Note"/>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Spent5" displayName="Spent5" ref="A53:C61" totalsRowShown="0" headerRowDxfId="28">
  <autoFilter ref="A53:C61" xr:uid="{00000000-0009-0000-0100-000003000000}"/>
  <tableColumns count="3">
    <tableColumn id="1" xr3:uid="{00000000-0010-0000-0500-000001000000}" name="Metal"/>
    <tableColumn id="2" xr3:uid="{00000000-0010-0000-0500-000002000000}" name="TCLP Limit, mg/L"/>
    <tableColumn id="3" xr3:uid="{00000000-0010-0000-0500-000003000000}" name="Estimated Concentration in Catalyst, wt%"/>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UnitConv" displayName="UnitConv" ref="A3:I21" totalsRowShown="0" headerRowDxfId="27" dataDxfId="26">
  <autoFilter ref="A3:I21" xr:uid="{00000000-0009-0000-0100-000001000000}"/>
  <tableColumns count="9">
    <tableColumn id="1" xr3:uid="{00000000-0010-0000-0700-000001000000}" name="Unit" dataDxfId="25"/>
    <tableColumn id="2" xr3:uid="{00000000-0010-0000-0700-000002000000}" name="Full name" dataDxfId="24"/>
    <tableColumn id="3" xr3:uid="{00000000-0010-0000-0700-000003000000}" name="Definition" dataDxfId="23"/>
    <tableColumn id="4" xr3:uid="{00000000-0010-0000-0700-000004000000}" name="Unit of mass/weight" dataDxfId="22"/>
    <tableColumn id="6" xr3:uid="{00000000-0010-0000-0700-000006000000}" name="Size in kg" dataDxfId="21"/>
    <tableColumn id="7" xr3:uid="{00000000-0010-0000-0700-000007000000}" name="Unit of volume" dataDxfId="20">
      <calculatedColumnFormula>IF(UnitConv[[#This Row],[Unit of mass/weight]]="Yes","No",IF(UnitConv[[#This Row],[Unit of mass/weight]]="No","Yes","Error"))</calculatedColumnFormula>
    </tableColumn>
    <tableColumn id="9" xr3:uid="{00000000-0010-0000-0700-000009000000}" name="Size in L" dataDxfId="19"/>
    <tableColumn id="10" xr3:uid="{00000000-0010-0000-0700-00000A000000}" name="MassNames" dataDxfId="18">
      <calculatedColumnFormula>IF(UnitConv[[#This Row],[Unit of mass/weight]]="Yes",UnitConv[[#This Row],[Unit]],"")</calculatedColumnFormula>
    </tableColumn>
    <tableColumn id="11" xr3:uid="{00000000-0010-0000-0700-00000B000000}" name="VolNames" dataDxfId="17">
      <calculatedColumnFormula>IF(UnitConv[[#This Row],[Unit of volume]]="Yes",UnitConv[[#This Row],[Unit]],"")</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8000000}" name="ChemPPI" displayName="ChemPPI" ref="A16:N51" totalsRowShown="0" headerRowDxfId="16" dataDxfId="14" headerRowBorderDxfId="15">
  <autoFilter ref="A16:N51" xr:uid="{00000000-0009-0000-0100-000002000000}"/>
  <tableColumns count="14">
    <tableColumn id="1" xr3:uid="{00000000-0010-0000-0800-000001000000}" name="Year" dataDxfId="13"/>
    <tableColumn id="2" xr3:uid="{00000000-0010-0000-0800-000002000000}" name="Jan" dataDxfId="12"/>
    <tableColumn id="3" xr3:uid="{00000000-0010-0000-0800-000003000000}" name="Feb" dataDxfId="11"/>
    <tableColumn id="4" xr3:uid="{00000000-0010-0000-0800-000004000000}" name="Mar" dataDxfId="10"/>
    <tableColumn id="5" xr3:uid="{00000000-0010-0000-0800-000005000000}" name="Apr" dataDxfId="9"/>
    <tableColumn id="6" xr3:uid="{00000000-0010-0000-0800-000006000000}" name="May" dataDxfId="8"/>
    <tableColumn id="7" xr3:uid="{00000000-0010-0000-0800-000007000000}" name="Jun" dataDxfId="7"/>
    <tableColumn id="8" xr3:uid="{00000000-0010-0000-0800-000008000000}" name="Jul" dataDxfId="6"/>
    <tableColumn id="9" xr3:uid="{00000000-0010-0000-0800-000009000000}" name="Aug" dataDxfId="5"/>
    <tableColumn id="10" xr3:uid="{00000000-0010-0000-0800-00000A000000}" name="Sep" dataDxfId="4"/>
    <tableColumn id="11" xr3:uid="{00000000-0010-0000-0800-00000B000000}" name="Oct" dataDxfId="3"/>
    <tableColumn id="12" xr3:uid="{00000000-0010-0000-0800-00000C000000}" name="Nov" dataDxfId="2"/>
    <tableColumn id="13" xr3:uid="{00000000-0010-0000-0800-00000D000000}" name="Dec" dataDxfId="1"/>
    <tableColumn id="14" xr3:uid="{00000000-0010-0000-0800-00000E000000}" name="Annual" dataDxfId="0">
      <calculatedColumnFormula>AVERAGE(ChemPPI[[#This Row],[Jan]:[Dec]])</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cis.com/chemicals/channel-info-chemicals-a-z/"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comments" Target="../comments12.xml"/><Relationship Id="rId2" Type="http://schemas.openxmlformats.org/officeDocument/2006/relationships/table" Target="../tables/table3.xml"/><Relationship Id="rId1" Type="http://schemas.openxmlformats.org/officeDocument/2006/relationships/vmlDrawing" Target="../drawings/vmlDrawing12.v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9.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Q129"/>
  <sheetViews>
    <sheetView workbookViewId="0"/>
  </sheetViews>
  <sheetFormatPr baseColWidth="10" defaultColWidth="11" defaultRowHeight="16"/>
  <cols>
    <col min="1" max="2" width="2.5" style="11" customWidth="1"/>
    <col min="3" max="3" width="23.6640625" style="11" customWidth="1"/>
    <col min="4" max="4" width="11" style="11"/>
    <col min="5" max="5" width="5.83203125" style="11" bestFit="1" customWidth="1"/>
    <col min="6" max="6" width="2.5" style="11" customWidth="1"/>
    <col min="7" max="7" width="4.33203125" style="11" customWidth="1"/>
    <col min="8" max="8" width="2.5" style="11" customWidth="1"/>
    <col min="9" max="9" width="4.1640625" style="11" customWidth="1"/>
    <col min="10" max="10" width="2.5" style="11" customWidth="1"/>
    <col min="11" max="11" width="23.6640625" style="11" customWidth="1"/>
    <col min="12" max="14" width="9.6640625" style="11" customWidth="1"/>
    <col min="15" max="15" width="11" style="11"/>
    <col min="16" max="16" width="7.83203125" style="11" customWidth="1"/>
    <col min="17" max="17" width="2.5" style="11" customWidth="1"/>
    <col min="18" max="16384" width="11" style="11"/>
  </cols>
  <sheetData>
    <row r="1" spans="1:16">
      <c r="A1" s="184"/>
      <c r="B1" s="184"/>
      <c r="C1" s="184"/>
      <c r="D1" s="184"/>
      <c r="E1" s="184"/>
      <c r="F1" s="184"/>
      <c r="G1" s="184"/>
      <c r="H1" s="184"/>
      <c r="I1" s="184"/>
      <c r="J1" s="184"/>
      <c r="K1" s="184"/>
      <c r="L1" s="184"/>
      <c r="M1" s="184"/>
      <c r="N1" s="184"/>
      <c r="O1" s="184"/>
      <c r="P1" s="184"/>
    </row>
    <row r="2" spans="1:16" ht="31">
      <c r="A2" s="184"/>
      <c r="B2" s="386" t="s">
        <v>1732</v>
      </c>
      <c r="D2" s="184"/>
      <c r="E2" s="184"/>
      <c r="F2" s="184"/>
      <c r="G2" s="184"/>
      <c r="H2" s="184"/>
      <c r="I2" s="184"/>
      <c r="J2" s="184"/>
      <c r="K2" s="184"/>
      <c r="L2" s="184"/>
      <c r="M2" s="184"/>
      <c r="N2" s="184"/>
      <c r="O2" s="184"/>
      <c r="P2" s="184"/>
    </row>
    <row r="3" spans="1:16">
      <c r="A3" s="184"/>
      <c r="B3" s="385" t="s">
        <v>1733</v>
      </c>
      <c r="C3" s="184"/>
      <c r="D3" s="184"/>
      <c r="E3" s="184"/>
      <c r="F3" s="184"/>
      <c r="G3" s="184"/>
      <c r="H3" s="184"/>
      <c r="I3" s="184"/>
      <c r="J3" s="184"/>
      <c r="K3" s="184"/>
      <c r="L3" s="184"/>
      <c r="M3" s="184"/>
      <c r="N3" s="184"/>
      <c r="O3" s="184"/>
      <c r="P3" s="184"/>
    </row>
    <row r="5" spans="1:16" ht="20">
      <c r="A5" s="184"/>
      <c r="B5" s="397" t="s">
        <v>1723</v>
      </c>
      <c r="C5" s="397"/>
      <c r="D5" s="398" t="s">
        <v>1724</v>
      </c>
      <c r="E5" s="185"/>
      <c r="F5" s="185"/>
      <c r="G5" s="186"/>
      <c r="H5" s="186"/>
      <c r="I5" s="186"/>
      <c r="J5" s="184"/>
      <c r="K5" s="184"/>
      <c r="L5" s="184"/>
      <c r="M5" s="184"/>
      <c r="N5" s="184"/>
      <c r="O5" s="184"/>
      <c r="P5" s="184"/>
    </row>
    <row r="6" spans="1:16">
      <c r="A6" s="184"/>
      <c r="B6" s="184"/>
      <c r="C6" s="184"/>
      <c r="D6" s="184"/>
      <c r="E6" s="184"/>
      <c r="F6" s="184"/>
      <c r="G6" s="184"/>
      <c r="H6" s="184"/>
      <c r="I6" s="184"/>
      <c r="J6" s="184"/>
      <c r="K6" s="184"/>
      <c r="L6" s="184"/>
      <c r="M6" s="184"/>
      <c r="N6" s="184"/>
      <c r="O6" s="184"/>
      <c r="P6" s="184"/>
    </row>
    <row r="7" spans="1:16" ht="20">
      <c r="A7" s="184"/>
      <c r="B7" s="185" t="s">
        <v>1800</v>
      </c>
      <c r="C7" s="184"/>
      <c r="D7" s="184"/>
      <c r="E7" s="184"/>
      <c r="F7" s="184"/>
      <c r="G7" s="184"/>
      <c r="H7" s="184"/>
      <c r="I7" s="184"/>
      <c r="J7" s="184"/>
      <c r="K7" s="184"/>
      <c r="L7" s="184"/>
      <c r="M7" s="184"/>
      <c r="N7" s="184"/>
      <c r="O7" s="184"/>
      <c r="P7" s="184"/>
    </row>
    <row r="8" spans="1:16" ht="18">
      <c r="A8" s="184"/>
      <c r="B8" s="184"/>
      <c r="C8" s="396" t="str">
        <f>HYPERLINK("catcost.chemcatbio.org")</f>
        <v>catcost.chemcatbio.org</v>
      </c>
      <c r="D8" s="184"/>
      <c r="E8" s="184"/>
      <c r="F8" s="184"/>
      <c r="G8" s="184"/>
      <c r="H8" s="184"/>
      <c r="I8" s="184"/>
      <c r="J8" s="184"/>
      <c r="K8" s="184"/>
      <c r="L8" s="184"/>
      <c r="M8" s="184"/>
      <c r="N8" s="184"/>
      <c r="O8" s="184"/>
      <c r="P8" s="184"/>
    </row>
    <row r="9" spans="1:16" ht="18">
      <c r="A9" s="184"/>
      <c r="B9" s="184"/>
      <c r="C9" s="396" t="str">
        <f>HYPERLINK("mailto:catcost@nrel.gov","catcost@nrel.gov")</f>
        <v>catcost@nrel.gov</v>
      </c>
      <c r="D9" s="184"/>
      <c r="E9" s="184"/>
      <c r="F9" s="184"/>
      <c r="G9" s="184"/>
      <c r="H9" s="184"/>
      <c r="I9" s="184"/>
      <c r="J9" s="184"/>
      <c r="K9" s="184"/>
      <c r="L9" s="184"/>
      <c r="M9" s="184"/>
      <c r="N9" s="184"/>
      <c r="O9" s="184"/>
      <c r="P9" s="184"/>
    </row>
    <row r="10" spans="1:16">
      <c r="A10" s="184"/>
      <c r="B10" s="184"/>
      <c r="C10" s="184"/>
      <c r="D10" s="184"/>
      <c r="E10" s="184"/>
      <c r="F10" s="184"/>
      <c r="G10" s="184"/>
      <c r="H10" s="184"/>
      <c r="I10" s="184"/>
      <c r="J10" s="184"/>
      <c r="K10" s="184"/>
      <c r="L10" s="184"/>
      <c r="M10" s="184"/>
      <c r="N10" s="184"/>
      <c r="O10" s="184"/>
      <c r="P10" s="184"/>
    </row>
    <row r="11" spans="1:16" ht="20">
      <c r="A11" s="184"/>
      <c r="B11" s="185" t="s">
        <v>1796</v>
      </c>
      <c r="C11" s="184"/>
      <c r="D11" s="184"/>
      <c r="E11" s="184"/>
      <c r="F11" s="184"/>
      <c r="G11" s="184"/>
      <c r="H11" s="184"/>
      <c r="I11" s="184"/>
      <c r="J11" s="184"/>
      <c r="K11" s="184"/>
      <c r="L11" s="184"/>
      <c r="M11" s="184"/>
      <c r="N11" s="184"/>
      <c r="O11" s="184"/>
      <c r="P11" s="184"/>
    </row>
    <row r="12" spans="1:16" ht="18">
      <c r="A12" s="184"/>
      <c r="B12" s="184"/>
      <c r="C12" s="392" t="s">
        <v>1725</v>
      </c>
      <c r="D12" s="184"/>
      <c r="E12" s="184"/>
      <c r="F12" s="184"/>
      <c r="G12" s="184"/>
      <c r="H12" s="184"/>
      <c r="I12" s="184"/>
      <c r="J12" s="184"/>
      <c r="K12" s="184"/>
      <c r="L12" s="184"/>
      <c r="M12" s="184"/>
      <c r="N12" s="184"/>
      <c r="O12" s="184"/>
      <c r="P12" s="184"/>
    </row>
    <row r="13" spans="1:16" ht="18">
      <c r="A13" s="184"/>
      <c r="B13" s="184"/>
      <c r="C13" s="392" t="s">
        <v>1752</v>
      </c>
      <c r="D13" s="184"/>
      <c r="E13" s="184"/>
      <c r="F13" s="184"/>
      <c r="G13" s="184"/>
      <c r="H13" s="184"/>
      <c r="I13" s="184"/>
      <c r="J13" s="184"/>
      <c r="K13" s="184"/>
      <c r="L13" s="184"/>
      <c r="M13" s="184"/>
      <c r="N13" s="184"/>
      <c r="O13" s="184"/>
      <c r="P13" s="184"/>
    </row>
    <row r="14" spans="1:16" ht="18">
      <c r="A14" s="184"/>
      <c r="B14" s="184"/>
      <c r="C14" s="392" t="s">
        <v>430</v>
      </c>
      <c r="D14" s="184"/>
      <c r="E14" s="184"/>
      <c r="F14" s="184"/>
      <c r="G14" s="184"/>
      <c r="H14" s="184"/>
      <c r="I14" s="184"/>
      <c r="J14" s="184"/>
      <c r="K14" s="184"/>
      <c r="L14" s="184"/>
      <c r="M14" s="184"/>
      <c r="N14" s="184"/>
      <c r="O14" s="184"/>
      <c r="P14" s="184"/>
    </row>
    <row r="15" spans="1:16" ht="18">
      <c r="A15" s="184"/>
      <c r="B15" s="184"/>
      <c r="C15" s="392" t="s">
        <v>1795</v>
      </c>
      <c r="D15" s="184"/>
      <c r="E15" s="184"/>
      <c r="F15" s="184"/>
      <c r="G15" s="184"/>
      <c r="H15" s="184"/>
      <c r="I15" s="184"/>
      <c r="J15" s="184"/>
      <c r="K15" s="184"/>
      <c r="L15" s="184"/>
      <c r="M15" s="184"/>
      <c r="N15" s="184"/>
      <c r="O15" s="184"/>
      <c r="P15" s="184"/>
    </row>
    <row r="16" spans="1:16" ht="18">
      <c r="A16" s="184"/>
      <c r="B16" s="184"/>
      <c r="C16" s="392" t="s">
        <v>1840</v>
      </c>
      <c r="D16" s="184"/>
      <c r="E16" s="184"/>
      <c r="F16" s="184"/>
      <c r="G16" s="184"/>
      <c r="H16" s="184"/>
      <c r="I16" s="184"/>
      <c r="J16" s="184"/>
      <c r="K16" s="184"/>
      <c r="L16" s="184"/>
      <c r="M16" s="184"/>
      <c r="N16" s="184"/>
      <c r="O16" s="184"/>
      <c r="P16" s="184"/>
    </row>
    <row r="17" spans="1:17" ht="18">
      <c r="A17" s="184"/>
      <c r="B17" s="184"/>
      <c r="C17" s="392" t="s">
        <v>1794</v>
      </c>
      <c r="D17" s="184"/>
      <c r="E17" s="184"/>
      <c r="F17" s="184"/>
      <c r="G17" s="184"/>
      <c r="H17" s="184"/>
      <c r="I17" s="184"/>
      <c r="J17" s="184"/>
      <c r="K17" s="184"/>
      <c r="L17" s="184"/>
      <c r="M17" s="184"/>
      <c r="N17" s="184"/>
      <c r="O17" s="184"/>
      <c r="P17" s="184"/>
    </row>
    <row r="18" spans="1:17" ht="17" thickBot="1">
      <c r="A18" s="184"/>
      <c r="B18" s="184"/>
      <c r="C18" s="184"/>
      <c r="D18" s="184"/>
      <c r="E18" s="184"/>
      <c r="F18" s="184"/>
      <c r="G18" s="184"/>
      <c r="H18" s="184"/>
      <c r="I18" s="184"/>
      <c r="J18" s="184"/>
      <c r="K18" s="184"/>
      <c r="L18" s="184"/>
      <c r="M18" s="184"/>
      <c r="N18" s="184"/>
      <c r="O18" s="184"/>
      <c r="P18" s="184"/>
    </row>
    <row r="19" spans="1:17" ht="21" thickBot="1">
      <c r="A19" s="184"/>
      <c r="B19" s="420" t="s">
        <v>1725</v>
      </c>
      <c r="C19" s="421"/>
      <c r="D19" s="422"/>
      <c r="E19" s="184"/>
      <c r="F19" s="184"/>
      <c r="G19" s="184"/>
      <c r="H19" s="184"/>
      <c r="I19" s="184"/>
      <c r="J19" s="184"/>
      <c r="K19" s="184"/>
      <c r="L19" s="184"/>
      <c r="M19" s="184"/>
      <c r="N19" s="184"/>
      <c r="O19" s="184"/>
      <c r="P19" s="184"/>
    </row>
    <row r="20" spans="1:17">
      <c r="A20" s="184"/>
      <c r="B20" s="187"/>
      <c r="C20" s="188"/>
      <c r="D20" s="188"/>
      <c r="E20" s="188"/>
      <c r="F20" s="188"/>
      <c r="G20" s="188"/>
      <c r="H20" s="188"/>
      <c r="I20" s="188"/>
      <c r="J20" s="188"/>
      <c r="K20" s="188"/>
      <c r="L20" s="188"/>
      <c r="M20" s="188"/>
      <c r="N20" s="188"/>
      <c r="O20" s="188"/>
      <c r="P20" s="188"/>
      <c r="Q20" s="189"/>
    </row>
    <row r="21" spans="1:17">
      <c r="A21" s="184"/>
      <c r="B21" s="190"/>
      <c r="C21" s="191" t="s">
        <v>1797</v>
      </c>
      <c r="D21" s="395"/>
      <c r="E21" s="395"/>
      <c r="F21" s="395"/>
      <c r="G21" s="395"/>
      <c r="H21" s="395"/>
      <c r="I21" s="395"/>
      <c r="J21" s="395"/>
      <c r="K21" s="395"/>
      <c r="L21" s="395"/>
      <c r="M21" s="395"/>
      <c r="N21" s="395"/>
      <c r="O21" s="395"/>
      <c r="P21" s="395"/>
      <c r="Q21" s="192"/>
    </row>
    <row r="22" spans="1:17">
      <c r="A22" s="184"/>
      <c r="B22" s="190"/>
      <c r="C22" s="191" t="s">
        <v>1799</v>
      </c>
      <c r="D22" s="191"/>
      <c r="E22" s="191"/>
      <c r="F22" s="191"/>
      <c r="G22" s="191"/>
      <c r="H22" s="191"/>
      <c r="I22" s="191"/>
      <c r="J22" s="191"/>
      <c r="K22" s="191"/>
      <c r="L22" s="191"/>
      <c r="M22" s="191"/>
      <c r="N22" s="191"/>
      <c r="O22" s="191"/>
      <c r="P22" s="191"/>
      <c r="Q22" s="192"/>
    </row>
    <row r="23" spans="1:17">
      <c r="A23" s="184"/>
      <c r="B23" s="190"/>
      <c r="C23" s="191" t="s">
        <v>1798</v>
      </c>
      <c r="D23" s="191"/>
      <c r="E23" s="191"/>
      <c r="F23" s="191"/>
      <c r="G23" s="191"/>
      <c r="H23" s="191"/>
      <c r="I23" s="191"/>
      <c r="J23" s="191"/>
      <c r="K23" s="191"/>
      <c r="L23" s="191"/>
      <c r="M23" s="191"/>
      <c r="N23" s="191"/>
      <c r="O23" s="191"/>
      <c r="P23" s="191"/>
      <c r="Q23" s="193"/>
    </row>
    <row r="24" spans="1:17">
      <c r="A24" s="184"/>
      <c r="B24" s="190"/>
      <c r="C24" s="191" t="s">
        <v>976</v>
      </c>
      <c r="D24" s="191"/>
      <c r="E24" s="191"/>
      <c r="F24" s="191"/>
      <c r="G24" s="191"/>
      <c r="H24" s="191"/>
      <c r="I24" s="191"/>
      <c r="J24" s="191"/>
      <c r="K24" s="191"/>
      <c r="L24" s="191"/>
      <c r="M24" s="191"/>
      <c r="N24" s="191"/>
      <c r="O24" s="191"/>
      <c r="P24" s="191"/>
      <c r="Q24" s="192"/>
    </row>
    <row r="25" spans="1:17">
      <c r="A25" s="184"/>
      <c r="B25" s="190"/>
      <c r="C25" s="191" t="s">
        <v>1790</v>
      </c>
      <c r="D25" s="191"/>
      <c r="E25" s="191"/>
      <c r="F25" s="191"/>
      <c r="G25" s="191"/>
      <c r="H25" s="191"/>
      <c r="I25" s="191"/>
      <c r="J25" s="191"/>
      <c r="K25" s="191"/>
      <c r="L25" s="191"/>
      <c r="M25" s="191"/>
      <c r="N25" s="191"/>
      <c r="O25" s="191"/>
      <c r="P25" s="191"/>
      <c r="Q25" s="193"/>
    </row>
    <row r="26" spans="1:17">
      <c r="A26" s="184"/>
      <c r="B26" s="190"/>
      <c r="C26" s="191" t="s">
        <v>1791</v>
      </c>
      <c r="D26" s="191"/>
      <c r="E26" s="191"/>
      <c r="F26" s="191"/>
      <c r="G26" s="191"/>
      <c r="H26" s="191"/>
      <c r="I26" s="191"/>
      <c r="J26" s="191"/>
      <c r="K26" s="191"/>
      <c r="L26" s="191"/>
      <c r="M26" s="191"/>
      <c r="N26" s="191"/>
      <c r="O26" s="191"/>
      <c r="P26" s="191"/>
      <c r="Q26" s="193"/>
    </row>
    <row r="27" spans="1:17">
      <c r="A27" s="184"/>
      <c r="B27" s="190"/>
      <c r="C27" s="191" t="s">
        <v>1792</v>
      </c>
      <c r="D27" s="191"/>
      <c r="E27" s="191"/>
      <c r="F27" s="191"/>
      <c r="G27" s="191"/>
      <c r="H27" s="191"/>
      <c r="I27" s="191"/>
      <c r="J27" s="191"/>
      <c r="K27" s="191"/>
      <c r="L27" s="191"/>
      <c r="M27" s="191"/>
      <c r="N27" s="191"/>
      <c r="O27" s="191"/>
      <c r="P27" s="191"/>
      <c r="Q27" s="192"/>
    </row>
    <row r="28" spans="1:17">
      <c r="A28" s="184"/>
      <c r="B28" s="190"/>
      <c r="C28" s="191" t="s">
        <v>1793</v>
      </c>
      <c r="D28" s="191"/>
      <c r="E28" s="191"/>
      <c r="F28" s="191"/>
      <c r="G28" s="191"/>
      <c r="H28" s="191"/>
      <c r="I28" s="191"/>
      <c r="J28" s="191"/>
      <c r="K28" s="191"/>
      <c r="L28" s="191"/>
      <c r="M28" s="191"/>
      <c r="N28" s="191"/>
      <c r="O28" s="191"/>
      <c r="P28" s="191"/>
      <c r="Q28" s="192"/>
    </row>
    <row r="29" spans="1:17">
      <c r="A29" s="184"/>
      <c r="B29" s="190"/>
      <c r="C29" s="191" t="s">
        <v>438</v>
      </c>
      <c r="D29" s="191"/>
      <c r="E29" s="191"/>
      <c r="F29" s="191"/>
      <c r="G29" s="191"/>
      <c r="H29" s="191"/>
      <c r="I29" s="191"/>
      <c r="J29" s="191"/>
      <c r="K29" s="191"/>
      <c r="L29" s="191"/>
      <c r="M29" s="191"/>
      <c r="N29" s="191"/>
      <c r="O29" s="191"/>
      <c r="P29" s="191"/>
      <c r="Q29" s="193"/>
    </row>
    <row r="30" spans="1:17">
      <c r="A30" s="184"/>
      <c r="B30" s="190"/>
      <c r="C30" s="191" t="s">
        <v>1802</v>
      </c>
      <c r="D30" s="191"/>
      <c r="E30" s="191"/>
      <c r="F30" s="191"/>
      <c r="G30" s="191"/>
      <c r="H30" s="191"/>
      <c r="I30" s="191"/>
      <c r="J30" s="191"/>
      <c r="K30" s="191"/>
      <c r="L30" s="191"/>
      <c r="M30" s="191"/>
      <c r="N30" s="191"/>
      <c r="O30" s="191"/>
      <c r="P30" s="191"/>
      <c r="Q30" s="193"/>
    </row>
    <row r="31" spans="1:17" ht="17" thickBot="1">
      <c r="A31" s="184"/>
      <c r="B31" s="194"/>
      <c r="C31" s="195"/>
      <c r="D31" s="195"/>
      <c r="E31" s="195"/>
      <c r="F31" s="195"/>
      <c r="G31" s="195"/>
      <c r="H31" s="195"/>
      <c r="I31" s="195"/>
      <c r="J31" s="195"/>
      <c r="K31" s="195"/>
      <c r="L31" s="195"/>
      <c r="M31" s="195"/>
      <c r="N31" s="195"/>
      <c r="O31" s="195"/>
      <c r="P31" s="195"/>
      <c r="Q31" s="196"/>
    </row>
    <row r="32" spans="1:17" ht="17" thickBot="1"/>
    <row r="33" spans="2:17" ht="21" thickBot="1">
      <c r="B33" s="417" t="s">
        <v>1752</v>
      </c>
      <c r="C33" s="418"/>
      <c r="D33" s="419"/>
      <c r="J33" s="417" t="s">
        <v>430</v>
      </c>
      <c r="K33" s="418"/>
      <c r="L33" s="419"/>
    </row>
    <row r="34" spans="2:17">
      <c r="B34" s="13"/>
      <c r="C34" s="14"/>
      <c r="D34" s="14"/>
      <c r="E34" s="14"/>
      <c r="F34" s="14"/>
      <c r="G34" s="14"/>
      <c r="H34" s="15"/>
      <c r="J34" s="13"/>
      <c r="K34" s="14"/>
      <c r="L34" s="14"/>
      <c r="M34" s="14"/>
      <c r="N34" s="14"/>
      <c r="O34" s="14"/>
      <c r="P34" s="14"/>
      <c r="Q34" s="15"/>
    </row>
    <row r="35" spans="2:17">
      <c r="B35" s="16"/>
      <c r="C35" s="17" t="s">
        <v>424</v>
      </c>
      <c r="D35" s="18"/>
      <c r="E35" s="18"/>
      <c r="F35" s="18"/>
      <c r="G35" s="18"/>
      <c r="H35" s="19"/>
      <c r="J35" s="16"/>
      <c r="K35" s="18" t="s">
        <v>436</v>
      </c>
      <c r="L35" s="178"/>
      <c r="M35" s="178"/>
      <c r="N35" s="18"/>
      <c r="O35" s="18"/>
      <c r="P35" s="18"/>
      <c r="Q35" s="19"/>
    </row>
    <row r="36" spans="2:17">
      <c r="B36" s="16"/>
      <c r="C36" s="33" t="s">
        <v>977</v>
      </c>
      <c r="D36" s="180"/>
      <c r="E36" s="107" t="s">
        <v>9</v>
      </c>
      <c r="F36" s="18"/>
      <c r="G36" s="42" t="s">
        <v>162</v>
      </c>
      <c r="H36" s="19"/>
      <c r="J36" s="16"/>
      <c r="K36" s="18" t="s">
        <v>1727</v>
      </c>
      <c r="L36" s="178"/>
      <c r="M36" s="178"/>
      <c r="N36" s="18"/>
      <c r="O36" s="18"/>
      <c r="P36" s="18"/>
      <c r="Q36" s="19"/>
    </row>
    <row r="37" spans="2:17">
      <c r="B37" s="16"/>
      <c r="C37" s="33" t="s">
        <v>978</v>
      </c>
      <c r="D37" s="181"/>
      <c r="E37" s="107" t="s">
        <v>7</v>
      </c>
      <c r="F37" s="18"/>
      <c r="G37" s="42" t="s">
        <v>162</v>
      </c>
      <c r="H37" s="19"/>
      <c r="J37" s="16"/>
      <c r="K37" s="18" t="s">
        <v>1728</v>
      </c>
      <c r="L37" s="178"/>
      <c r="M37" s="178"/>
      <c r="N37" s="18"/>
      <c r="O37" s="18"/>
      <c r="P37" s="18"/>
      <c r="Q37" s="19"/>
    </row>
    <row r="38" spans="2:17">
      <c r="B38" s="16"/>
      <c r="C38" s="33"/>
      <c r="D38" s="35"/>
      <c r="E38" s="35"/>
      <c r="F38" s="18"/>
      <c r="G38" s="20"/>
      <c r="H38" s="19"/>
      <c r="J38" s="16"/>
      <c r="K38" s="18" t="s">
        <v>1729</v>
      </c>
      <c r="L38" s="178"/>
      <c r="M38" s="178"/>
      <c r="N38" s="18"/>
      <c r="O38" s="18"/>
      <c r="P38" s="18"/>
      <c r="Q38" s="19"/>
    </row>
    <row r="39" spans="2:17">
      <c r="B39" s="16"/>
      <c r="C39" s="18" t="s">
        <v>427</v>
      </c>
      <c r="D39" s="289"/>
      <c r="E39" s="18"/>
      <c r="F39" s="18"/>
      <c r="G39" s="42" t="s">
        <v>162</v>
      </c>
      <c r="H39" s="19"/>
      <c r="J39" s="16"/>
      <c r="K39" s="18" t="s">
        <v>434</v>
      </c>
      <c r="L39" s="178"/>
      <c r="M39" s="178"/>
      <c r="N39" s="18"/>
      <c r="O39" s="18"/>
      <c r="P39" s="18"/>
      <c r="Q39" s="19"/>
    </row>
    <row r="40" spans="2:17">
      <c r="B40" s="16"/>
      <c r="C40" s="18" t="s">
        <v>428</v>
      </c>
      <c r="D40" s="290"/>
      <c r="E40" s="18"/>
      <c r="F40" s="18"/>
      <c r="G40" s="42" t="s">
        <v>162</v>
      </c>
      <c r="H40" s="19"/>
      <c r="J40" s="16"/>
      <c r="K40" s="10" t="s">
        <v>1730</v>
      </c>
      <c r="L40" s="10"/>
      <c r="M40" s="10"/>
      <c r="N40" s="10"/>
      <c r="O40" s="10"/>
      <c r="P40" s="10"/>
      <c r="Q40" s="19"/>
    </row>
    <row r="41" spans="2:17">
      <c r="B41" s="16"/>
      <c r="C41" s="18"/>
      <c r="D41" s="135"/>
      <c r="E41" s="18"/>
      <c r="F41" s="18"/>
      <c r="G41" s="18"/>
      <c r="H41" s="19"/>
      <c r="J41" s="16"/>
      <c r="K41" s="18" t="s">
        <v>437</v>
      </c>
      <c r="L41" s="178"/>
      <c r="M41" s="178"/>
      <c r="N41" s="18"/>
      <c r="O41" s="18"/>
      <c r="P41" s="18"/>
      <c r="Q41" s="19"/>
    </row>
    <row r="42" spans="2:17">
      <c r="B42" s="16"/>
      <c r="C42" s="18" t="s">
        <v>425</v>
      </c>
      <c r="D42" s="141">
        <v>5</v>
      </c>
      <c r="E42" s="47" t="s">
        <v>9</v>
      </c>
      <c r="F42" s="18"/>
      <c r="G42" s="18"/>
      <c r="H42" s="19"/>
      <c r="J42" s="16"/>
      <c r="K42" s="18" t="s">
        <v>435</v>
      </c>
      <c r="L42" s="10"/>
      <c r="M42" s="10"/>
      <c r="N42" s="10"/>
      <c r="O42" s="10"/>
      <c r="P42" s="10"/>
      <c r="Q42" s="19"/>
    </row>
    <row r="43" spans="2:17">
      <c r="B43" s="16"/>
      <c r="C43" s="18"/>
      <c r="D43" s="18"/>
      <c r="E43" s="18"/>
      <c r="F43" s="18"/>
      <c r="G43" s="18"/>
      <c r="H43" s="19"/>
      <c r="J43" s="16"/>
      <c r="K43" s="10"/>
      <c r="L43" s="10"/>
      <c r="M43" s="10"/>
      <c r="N43" s="10"/>
      <c r="O43" s="10"/>
      <c r="P43" s="10"/>
      <c r="Q43" s="19"/>
    </row>
    <row r="44" spans="2:17">
      <c r="B44" s="16"/>
      <c r="C44" s="17" t="s">
        <v>426</v>
      </c>
      <c r="D44" s="18"/>
      <c r="E44" s="18"/>
      <c r="F44" s="18"/>
      <c r="G44" s="18"/>
      <c r="H44" s="19"/>
      <c r="J44" s="16"/>
      <c r="K44" s="17" t="s">
        <v>431</v>
      </c>
      <c r="L44" s="65" t="s">
        <v>39</v>
      </c>
      <c r="M44" s="65" t="s">
        <v>40</v>
      </c>
      <c r="N44" s="65" t="s">
        <v>41</v>
      </c>
      <c r="O44" s="18"/>
      <c r="P44" s="10"/>
      <c r="Q44" s="19"/>
    </row>
    <row r="45" spans="2:17">
      <c r="B45" s="16"/>
      <c r="C45" s="18" t="s">
        <v>1726</v>
      </c>
      <c r="D45" s="178">
        <v>50000</v>
      </c>
      <c r="E45" s="178"/>
      <c r="F45" s="18"/>
      <c r="G45" s="18"/>
      <c r="H45" s="19"/>
      <c r="J45" s="16"/>
      <c r="K45" s="33" t="s">
        <v>432</v>
      </c>
      <c r="L45" s="141">
        <v>5</v>
      </c>
      <c r="M45" s="60">
        <v>3</v>
      </c>
      <c r="N45" s="60">
        <v>9</v>
      </c>
      <c r="O45" s="107" t="s">
        <v>9</v>
      </c>
      <c r="P45" s="10"/>
      <c r="Q45" s="19"/>
    </row>
    <row r="46" spans="2:17">
      <c r="B46" s="16"/>
      <c r="C46" s="18" t="s">
        <v>429</v>
      </c>
      <c r="D46" s="179">
        <v>150000</v>
      </c>
      <c r="E46" s="179"/>
      <c r="F46" s="18"/>
      <c r="G46" s="18"/>
      <c r="H46" s="19"/>
      <c r="J46" s="16"/>
      <c r="K46" s="33" t="s">
        <v>433</v>
      </c>
      <c r="L46" s="141">
        <v>10</v>
      </c>
      <c r="M46" s="60">
        <v>8</v>
      </c>
      <c r="N46" s="60">
        <v>15</v>
      </c>
      <c r="O46" s="107" t="s">
        <v>8</v>
      </c>
      <c r="P46" s="10"/>
      <c r="Q46" s="19"/>
    </row>
    <row r="47" spans="2:17" ht="17" thickBot="1">
      <c r="B47" s="21"/>
      <c r="C47" s="22"/>
      <c r="D47" s="22"/>
      <c r="E47" s="22"/>
      <c r="F47" s="22"/>
      <c r="G47" s="22"/>
      <c r="H47" s="23"/>
      <c r="J47" s="21"/>
      <c r="K47" s="22"/>
      <c r="L47" s="22"/>
      <c r="M47" s="22"/>
      <c r="N47" s="22"/>
      <c r="O47" s="22"/>
      <c r="P47" s="22"/>
      <c r="Q47" s="23"/>
    </row>
    <row r="48" spans="2:17" ht="17" thickBot="1"/>
    <row r="49" spans="2:17" ht="21" thickBot="1">
      <c r="B49" s="420" t="s">
        <v>1795</v>
      </c>
      <c r="C49" s="421"/>
      <c r="D49" s="422"/>
      <c r="E49" s="184"/>
      <c r="F49" s="184"/>
      <c r="G49" s="184"/>
      <c r="H49" s="184"/>
      <c r="I49" s="184"/>
      <c r="J49" s="184"/>
      <c r="K49" s="184"/>
      <c r="L49" s="184"/>
      <c r="M49" s="184"/>
      <c r="N49" s="184"/>
      <c r="O49" s="184"/>
      <c r="P49" s="184"/>
    </row>
    <row r="50" spans="2:17">
      <c r="B50" s="187"/>
      <c r="C50" s="188"/>
      <c r="D50" s="188"/>
      <c r="E50" s="188"/>
      <c r="F50" s="188"/>
      <c r="G50" s="188"/>
      <c r="H50" s="188"/>
      <c r="I50" s="188"/>
      <c r="J50" s="188"/>
      <c r="K50" s="188"/>
      <c r="L50" s="188"/>
      <c r="M50" s="188"/>
      <c r="N50" s="188"/>
      <c r="O50" s="188"/>
      <c r="P50" s="188"/>
      <c r="Q50" s="189"/>
    </row>
    <row r="51" spans="2:17" ht="16" customHeight="1">
      <c r="B51" s="190"/>
      <c r="C51" s="423" t="s">
        <v>1785</v>
      </c>
      <c r="D51" s="423"/>
      <c r="E51" s="423"/>
      <c r="F51" s="423"/>
      <c r="G51" s="423"/>
      <c r="H51" s="423"/>
      <c r="I51" s="423"/>
      <c r="J51" s="423"/>
      <c r="K51" s="423"/>
      <c r="L51" s="423"/>
      <c r="M51" s="423"/>
      <c r="N51" s="423"/>
      <c r="O51" s="423"/>
      <c r="P51" s="423"/>
      <c r="Q51" s="19"/>
    </row>
    <row r="52" spans="2:17">
      <c r="B52" s="190"/>
      <c r="C52" s="423"/>
      <c r="D52" s="423"/>
      <c r="E52" s="423"/>
      <c r="F52" s="423"/>
      <c r="G52" s="423"/>
      <c r="H52" s="423"/>
      <c r="I52" s="423"/>
      <c r="J52" s="423"/>
      <c r="K52" s="423"/>
      <c r="L52" s="423"/>
      <c r="M52" s="423"/>
      <c r="N52" s="423"/>
      <c r="O52" s="423"/>
      <c r="P52" s="423"/>
      <c r="Q52" s="19"/>
    </row>
    <row r="53" spans="2:17">
      <c r="B53" s="190"/>
      <c r="C53" s="10"/>
      <c r="D53" s="10"/>
      <c r="E53" s="10"/>
      <c r="F53" s="10"/>
      <c r="G53" s="10"/>
      <c r="H53" s="10"/>
      <c r="I53" s="10"/>
      <c r="J53" s="10"/>
      <c r="K53" s="10"/>
      <c r="L53" s="10"/>
      <c r="M53" s="10"/>
      <c r="N53" s="10"/>
      <c r="O53" s="10"/>
      <c r="P53" s="10"/>
      <c r="Q53" s="19"/>
    </row>
    <row r="54" spans="2:17">
      <c r="B54" s="190"/>
      <c r="C54" s="423" t="s">
        <v>1786</v>
      </c>
      <c r="D54" s="423"/>
      <c r="E54" s="423"/>
      <c r="F54" s="423"/>
      <c r="G54" s="423"/>
      <c r="H54" s="423"/>
      <c r="I54" s="423"/>
      <c r="J54" s="423"/>
      <c r="K54" s="423"/>
      <c r="L54" s="423"/>
      <c r="M54" s="423"/>
      <c r="N54" s="423"/>
      <c r="O54" s="423"/>
      <c r="P54" s="423"/>
      <c r="Q54" s="19"/>
    </row>
    <row r="55" spans="2:17">
      <c r="B55" s="190"/>
      <c r="C55" s="423"/>
      <c r="D55" s="423"/>
      <c r="E55" s="423"/>
      <c r="F55" s="423"/>
      <c r="G55" s="423"/>
      <c r="H55" s="423"/>
      <c r="I55" s="423"/>
      <c r="J55" s="423"/>
      <c r="K55" s="423"/>
      <c r="L55" s="423"/>
      <c r="M55" s="423"/>
      <c r="N55" s="423"/>
      <c r="O55" s="423"/>
      <c r="P55" s="423"/>
      <c r="Q55" s="19"/>
    </row>
    <row r="56" spans="2:17">
      <c r="B56" s="190"/>
      <c r="C56" s="423"/>
      <c r="D56" s="423"/>
      <c r="E56" s="423"/>
      <c r="F56" s="423"/>
      <c r="G56" s="423"/>
      <c r="H56" s="423"/>
      <c r="I56" s="423"/>
      <c r="J56" s="423"/>
      <c r="K56" s="423"/>
      <c r="L56" s="423"/>
      <c r="M56" s="423"/>
      <c r="N56" s="423"/>
      <c r="O56" s="423"/>
      <c r="P56" s="423"/>
      <c r="Q56" s="19"/>
    </row>
    <row r="57" spans="2:17">
      <c r="B57" s="190"/>
      <c r="C57" s="10"/>
      <c r="D57" s="10"/>
      <c r="E57" s="10"/>
      <c r="F57" s="10"/>
      <c r="G57" s="10"/>
      <c r="H57" s="10"/>
      <c r="I57" s="10"/>
      <c r="J57" s="10"/>
      <c r="K57" s="10"/>
      <c r="L57" s="10"/>
      <c r="M57" s="10"/>
      <c r="N57" s="10"/>
      <c r="O57" s="10"/>
      <c r="P57" s="10"/>
      <c r="Q57" s="19"/>
    </row>
    <row r="58" spans="2:17">
      <c r="B58" s="190"/>
      <c r="C58" s="423" t="s">
        <v>1787</v>
      </c>
      <c r="D58" s="423"/>
      <c r="E58" s="423"/>
      <c r="F58" s="423"/>
      <c r="G58" s="423"/>
      <c r="H58" s="423"/>
      <c r="I58" s="423"/>
      <c r="J58" s="423"/>
      <c r="K58" s="423"/>
      <c r="L58" s="423"/>
      <c r="M58" s="423"/>
      <c r="N58" s="423"/>
      <c r="O58" s="423"/>
      <c r="P58" s="423"/>
      <c r="Q58" s="19"/>
    </row>
    <row r="59" spans="2:17">
      <c r="B59" s="190"/>
      <c r="C59" s="423"/>
      <c r="D59" s="423"/>
      <c r="E59" s="423"/>
      <c r="F59" s="423"/>
      <c r="G59" s="423"/>
      <c r="H59" s="423"/>
      <c r="I59" s="423"/>
      <c r="J59" s="423"/>
      <c r="K59" s="423"/>
      <c r="L59" s="423"/>
      <c r="M59" s="423"/>
      <c r="N59" s="423"/>
      <c r="O59" s="423"/>
      <c r="P59" s="423"/>
      <c r="Q59" s="19"/>
    </row>
    <row r="60" spans="2:17">
      <c r="B60" s="190"/>
      <c r="C60" s="423"/>
      <c r="D60" s="423"/>
      <c r="E60" s="423"/>
      <c r="F60" s="423"/>
      <c r="G60" s="423"/>
      <c r="H60" s="423"/>
      <c r="I60" s="423"/>
      <c r="J60" s="423"/>
      <c r="K60" s="423"/>
      <c r="L60" s="423"/>
      <c r="M60" s="423"/>
      <c r="N60" s="423"/>
      <c r="O60" s="423"/>
      <c r="P60" s="423"/>
      <c r="Q60" s="19"/>
    </row>
    <row r="61" spans="2:17">
      <c r="B61" s="190"/>
      <c r="C61" s="423"/>
      <c r="D61" s="423"/>
      <c r="E61" s="423"/>
      <c r="F61" s="423"/>
      <c r="G61" s="423"/>
      <c r="H61" s="423"/>
      <c r="I61" s="423"/>
      <c r="J61" s="423"/>
      <c r="K61" s="423"/>
      <c r="L61" s="423"/>
      <c r="M61" s="423"/>
      <c r="N61" s="423"/>
      <c r="O61" s="423"/>
      <c r="P61" s="423"/>
      <c r="Q61" s="19"/>
    </row>
    <row r="62" spans="2:17">
      <c r="B62" s="190"/>
      <c r="C62" s="10"/>
      <c r="D62" s="10"/>
      <c r="E62" s="10"/>
      <c r="F62" s="10"/>
      <c r="G62" s="10"/>
      <c r="H62" s="10"/>
      <c r="I62" s="10"/>
      <c r="J62" s="10"/>
      <c r="K62" s="10"/>
      <c r="L62" s="10"/>
      <c r="M62" s="10"/>
      <c r="N62" s="10"/>
      <c r="O62" s="10"/>
      <c r="P62" s="10"/>
      <c r="Q62" s="19"/>
    </row>
    <row r="63" spans="2:17">
      <c r="B63" s="190"/>
      <c r="C63" s="423" t="s">
        <v>1788</v>
      </c>
      <c r="D63" s="423"/>
      <c r="E63" s="423"/>
      <c r="F63" s="423"/>
      <c r="G63" s="423"/>
      <c r="H63" s="423"/>
      <c r="I63" s="423"/>
      <c r="J63" s="423"/>
      <c r="K63" s="423"/>
      <c r="L63" s="423"/>
      <c r="M63" s="423"/>
      <c r="N63" s="423"/>
      <c r="O63" s="423"/>
      <c r="P63" s="423"/>
      <c r="Q63" s="19"/>
    </row>
    <row r="64" spans="2:17">
      <c r="B64" s="190"/>
      <c r="C64" s="423"/>
      <c r="D64" s="423"/>
      <c r="E64" s="423"/>
      <c r="F64" s="423"/>
      <c r="G64" s="423"/>
      <c r="H64" s="423"/>
      <c r="I64" s="423"/>
      <c r="J64" s="423"/>
      <c r="K64" s="423"/>
      <c r="L64" s="423"/>
      <c r="M64" s="423"/>
      <c r="N64" s="423"/>
      <c r="O64" s="423"/>
      <c r="P64" s="423"/>
      <c r="Q64" s="19"/>
    </row>
    <row r="65" spans="2:17">
      <c r="B65" s="190"/>
      <c r="C65" s="423"/>
      <c r="D65" s="423"/>
      <c r="E65" s="423"/>
      <c r="F65" s="423"/>
      <c r="G65" s="423"/>
      <c r="H65" s="423"/>
      <c r="I65" s="423"/>
      <c r="J65" s="423"/>
      <c r="K65" s="423"/>
      <c r="L65" s="423"/>
      <c r="M65" s="423"/>
      <c r="N65" s="423"/>
      <c r="O65" s="423"/>
      <c r="P65" s="423"/>
      <c r="Q65" s="19"/>
    </row>
    <row r="66" spans="2:17">
      <c r="B66" s="190"/>
      <c r="C66" s="423"/>
      <c r="D66" s="423"/>
      <c r="E66" s="423"/>
      <c r="F66" s="423"/>
      <c r="G66" s="423"/>
      <c r="H66" s="423"/>
      <c r="I66" s="423"/>
      <c r="J66" s="423"/>
      <c r="K66" s="423"/>
      <c r="L66" s="423"/>
      <c r="M66" s="423"/>
      <c r="N66" s="423"/>
      <c r="O66" s="423"/>
      <c r="P66" s="423"/>
      <c r="Q66" s="19"/>
    </row>
    <row r="67" spans="2:17">
      <c r="B67" s="190"/>
      <c r="C67" s="423"/>
      <c r="D67" s="423"/>
      <c r="E67" s="423"/>
      <c r="F67" s="423"/>
      <c r="G67" s="423"/>
      <c r="H67" s="423"/>
      <c r="I67" s="423"/>
      <c r="J67" s="423"/>
      <c r="K67" s="423"/>
      <c r="L67" s="423"/>
      <c r="M67" s="423"/>
      <c r="N67" s="423"/>
      <c r="O67" s="423"/>
      <c r="P67" s="423"/>
      <c r="Q67" s="19"/>
    </row>
    <row r="68" spans="2:17">
      <c r="B68" s="190"/>
      <c r="C68" s="423"/>
      <c r="D68" s="423"/>
      <c r="E68" s="423"/>
      <c r="F68" s="423"/>
      <c r="G68" s="423"/>
      <c r="H68" s="423"/>
      <c r="I68" s="423"/>
      <c r="J68" s="423"/>
      <c r="K68" s="423"/>
      <c r="L68" s="423"/>
      <c r="M68" s="423"/>
      <c r="N68" s="423"/>
      <c r="O68" s="423"/>
      <c r="P68" s="423"/>
      <c r="Q68" s="19"/>
    </row>
    <row r="69" spans="2:17">
      <c r="B69" s="190"/>
      <c r="C69" s="423"/>
      <c r="D69" s="423"/>
      <c r="E69" s="423"/>
      <c r="F69" s="423"/>
      <c r="G69" s="423"/>
      <c r="H69" s="423"/>
      <c r="I69" s="423"/>
      <c r="J69" s="423"/>
      <c r="K69" s="423"/>
      <c r="L69" s="423"/>
      <c r="M69" s="423"/>
      <c r="N69" s="423"/>
      <c r="O69" s="423"/>
      <c r="P69" s="423"/>
      <c r="Q69" s="19"/>
    </row>
    <row r="70" spans="2:17">
      <c r="B70" s="190"/>
      <c r="C70" s="10"/>
      <c r="D70" s="10"/>
      <c r="E70" s="10"/>
      <c r="F70" s="10"/>
      <c r="G70" s="10"/>
      <c r="H70" s="10"/>
      <c r="I70" s="10"/>
      <c r="J70" s="10"/>
      <c r="K70" s="10"/>
      <c r="L70" s="10"/>
      <c r="M70" s="10"/>
      <c r="N70" s="10"/>
      <c r="O70" s="10"/>
      <c r="P70" s="10"/>
      <c r="Q70" s="19"/>
    </row>
    <row r="71" spans="2:17">
      <c r="B71" s="190"/>
      <c r="C71" s="423" t="s">
        <v>1789</v>
      </c>
      <c r="D71" s="423"/>
      <c r="E71" s="423"/>
      <c r="F71" s="423"/>
      <c r="G71" s="423"/>
      <c r="H71" s="423"/>
      <c r="I71" s="423"/>
      <c r="J71" s="423"/>
      <c r="K71" s="423"/>
      <c r="L71" s="423"/>
      <c r="M71" s="423"/>
      <c r="N71" s="423"/>
      <c r="O71" s="423"/>
      <c r="P71" s="423"/>
      <c r="Q71" s="19"/>
    </row>
    <row r="72" spans="2:17">
      <c r="B72" s="190"/>
      <c r="C72" s="423"/>
      <c r="D72" s="423"/>
      <c r="E72" s="423"/>
      <c r="F72" s="423"/>
      <c r="G72" s="423"/>
      <c r="H72" s="423"/>
      <c r="I72" s="423"/>
      <c r="J72" s="423"/>
      <c r="K72" s="423"/>
      <c r="L72" s="423"/>
      <c r="M72" s="423"/>
      <c r="N72" s="423"/>
      <c r="O72" s="423"/>
      <c r="P72" s="423"/>
      <c r="Q72" s="19"/>
    </row>
    <row r="73" spans="2:17">
      <c r="B73" s="190"/>
      <c r="C73" s="423"/>
      <c r="D73" s="423"/>
      <c r="E73" s="423"/>
      <c r="F73" s="423"/>
      <c r="G73" s="423"/>
      <c r="H73" s="423"/>
      <c r="I73" s="423"/>
      <c r="J73" s="423"/>
      <c r="K73" s="423"/>
      <c r="L73" s="423"/>
      <c r="M73" s="423"/>
      <c r="N73" s="423"/>
      <c r="O73" s="423"/>
      <c r="P73" s="423"/>
      <c r="Q73" s="19"/>
    </row>
    <row r="74" spans="2:17">
      <c r="B74" s="190"/>
      <c r="C74" s="423"/>
      <c r="D74" s="423"/>
      <c r="E74" s="423"/>
      <c r="F74" s="423"/>
      <c r="G74" s="423"/>
      <c r="H74" s="423"/>
      <c r="I74" s="423"/>
      <c r="J74" s="423"/>
      <c r="K74" s="423"/>
      <c r="L74" s="423"/>
      <c r="M74" s="423"/>
      <c r="N74" s="423"/>
      <c r="O74" s="423"/>
      <c r="P74" s="423"/>
      <c r="Q74" s="19"/>
    </row>
    <row r="75" spans="2:17" ht="17" thickBot="1">
      <c r="B75" s="194"/>
      <c r="C75" s="22"/>
      <c r="D75" s="22"/>
      <c r="E75" s="22"/>
      <c r="F75" s="22"/>
      <c r="G75" s="22"/>
      <c r="H75" s="22"/>
      <c r="I75" s="22"/>
      <c r="J75" s="22"/>
      <c r="K75" s="22"/>
      <c r="L75" s="22"/>
      <c r="M75" s="22"/>
      <c r="N75" s="22"/>
      <c r="O75" s="22"/>
      <c r="P75" s="22"/>
      <c r="Q75" s="23"/>
    </row>
    <row r="76" spans="2:17" ht="17" thickBot="1"/>
    <row r="77" spans="2:17" ht="21" thickBot="1">
      <c r="B77" s="417" t="s">
        <v>1840</v>
      </c>
      <c r="C77" s="418"/>
      <c r="D77" s="419"/>
      <c r="E77" s="393"/>
      <c r="F77" s="393"/>
      <c r="G77" s="393"/>
      <c r="H77" s="393"/>
      <c r="I77" s="393"/>
      <c r="J77" s="393"/>
      <c r="K77" s="393"/>
      <c r="L77" s="393"/>
      <c r="M77" s="393"/>
      <c r="N77" s="393"/>
      <c r="O77" s="393"/>
      <c r="P77" s="393"/>
      <c r="Q77" s="393"/>
    </row>
    <row r="79" spans="2:17">
      <c r="B79" s="394" t="s">
        <v>1830</v>
      </c>
      <c r="C79" s="394"/>
    </row>
    <row r="80" spans="2:17">
      <c r="C80" s="11" t="s">
        <v>1831</v>
      </c>
    </row>
    <row r="82" spans="2:17">
      <c r="B82" s="394" t="s">
        <v>1832</v>
      </c>
      <c r="C82" s="394"/>
    </row>
    <row r="83" spans="2:17">
      <c r="C83" s="11" t="s">
        <v>1833</v>
      </c>
    </row>
    <row r="85" spans="2:17">
      <c r="B85" s="394" t="s">
        <v>1834</v>
      </c>
    </row>
    <row r="86" spans="2:17">
      <c r="C86" s="11" t="s">
        <v>1835</v>
      </c>
    </row>
    <row r="88" spans="2:17">
      <c r="B88" s="394" t="s">
        <v>1837</v>
      </c>
    </row>
    <row r="89" spans="2:17">
      <c r="C89" s="11" t="s">
        <v>1836</v>
      </c>
    </row>
    <row r="91" spans="2:17">
      <c r="B91" s="394" t="s">
        <v>1839</v>
      </c>
    </row>
    <row r="92" spans="2:17">
      <c r="C92" s="11" t="s">
        <v>1838</v>
      </c>
    </row>
    <row r="93" spans="2:17" ht="17" thickBot="1"/>
    <row r="94" spans="2:17" ht="21" thickBot="1">
      <c r="B94" s="417" t="s">
        <v>1794</v>
      </c>
      <c r="C94" s="418"/>
      <c r="D94" s="419"/>
      <c r="E94" s="393"/>
      <c r="F94" s="393"/>
      <c r="G94" s="393"/>
      <c r="H94" s="393"/>
      <c r="I94" s="393"/>
      <c r="J94" s="393"/>
      <c r="K94" s="393"/>
      <c r="L94" s="393"/>
      <c r="M94" s="393"/>
      <c r="N94" s="393"/>
      <c r="O94" s="393"/>
      <c r="P94" s="393"/>
      <c r="Q94" s="393"/>
    </row>
    <row r="96" spans="2:17" s="394" customFormat="1">
      <c r="B96" s="394" t="s">
        <v>1757</v>
      </c>
    </row>
    <row r="97" spans="2:3">
      <c r="C97" s="11" t="s">
        <v>1758</v>
      </c>
    </row>
    <row r="98" spans="2:3">
      <c r="C98" s="11" t="s">
        <v>1759</v>
      </c>
    </row>
    <row r="99" spans="2:3">
      <c r="C99" s="11" t="s">
        <v>1760</v>
      </c>
    </row>
    <row r="101" spans="2:3">
      <c r="B101" s="394" t="s">
        <v>1764</v>
      </c>
    </row>
    <row r="102" spans="2:3">
      <c r="C102" s="11" t="s">
        <v>1765</v>
      </c>
    </row>
    <row r="103" spans="2:3">
      <c r="C103" s="391" t="s">
        <v>1766</v>
      </c>
    </row>
    <row r="105" spans="2:3">
      <c r="B105" s="394" t="s">
        <v>1781</v>
      </c>
    </row>
    <row r="106" spans="2:3">
      <c r="C106" s="11" t="s">
        <v>1782</v>
      </c>
    </row>
    <row r="108" spans="2:3">
      <c r="B108" s="394" t="s">
        <v>1784</v>
      </c>
    </row>
    <row r="109" spans="2:3">
      <c r="C109" s="11" t="s">
        <v>1761</v>
      </c>
    </row>
    <row r="110" spans="2:3">
      <c r="C110" s="11" t="s">
        <v>1762</v>
      </c>
    </row>
    <row r="111" spans="2:3">
      <c r="C111" s="11" t="s">
        <v>1763</v>
      </c>
    </row>
    <row r="112" spans="2:3">
      <c r="C112" s="11" t="s">
        <v>1777</v>
      </c>
    </row>
    <row r="113" spans="2:3">
      <c r="C113" s="11" t="s">
        <v>1778</v>
      </c>
    </row>
    <row r="114" spans="2:3">
      <c r="C114" s="11" t="s">
        <v>1770</v>
      </c>
    </row>
    <row r="115" spans="2:3">
      <c r="C115" s="11" t="s">
        <v>1771</v>
      </c>
    </row>
    <row r="116" spans="2:3">
      <c r="C116" s="11" t="s">
        <v>1772</v>
      </c>
    </row>
    <row r="117" spans="2:3">
      <c r="C117" s="11" t="s">
        <v>1773</v>
      </c>
    </row>
    <row r="118" spans="2:3">
      <c r="C118" s="11" t="s">
        <v>1774</v>
      </c>
    </row>
    <row r="119" spans="2:3">
      <c r="C119" s="11" t="s">
        <v>1775</v>
      </c>
    </row>
    <row r="120" spans="2:3">
      <c r="C120" s="11" t="s">
        <v>1779</v>
      </c>
    </row>
    <row r="121" spans="2:3">
      <c r="C121" s="11" t="s">
        <v>1780</v>
      </c>
    </row>
    <row r="122" spans="2:3">
      <c r="C122" s="11" t="s">
        <v>1776</v>
      </c>
    </row>
    <row r="123" spans="2:3">
      <c r="C123" s="11" t="s">
        <v>1801</v>
      </c>
    </row>
    <row r="125" spans="2:3">
      <c r="B125" s="394" t="s">
        <v>1768</v>
      </c>
    </row>
    <row r="126" spans="2:3">
      <c r="C126" s="11" t="s">
        <v>1769</v>
      </c>
    </row>
    <row r="128" spans="2:3">
      <c r="B128" s="394" t="s">
        <v>1767</v>
      </c>
    </row>
    <row r="129" spans="3:3">
      <c r="C129" s="11" t="s">
        <v>1783</v>
      </c>
    </row>
  </sheetData>
  <sheetProtection sheet="1" objects="1" scenarios="1"/>
  <mergeCells count="11">
    <mergeCell ref="B94:D94"/>
    <mergeCell ref="B49:D49"/>
    <mergeCell ref="C54:P56"/>
    <mergeCell ref="C58:P61"/>
    <mergeCell ref="C63:P69"/>
    <mergeCell ref="B77:D77"/>
    <mergeCell ref="B33:D33"/>
    <mergeCell ref="B19:D19"/>
    <mergeCell ref="J33:L33"/>
    <mergeCell ref="C51:P52"/>
    <mergeCell ref="C71:P74"/>
  </mergeCells>
  <dataValidations count="2">
    <dataValidation type="list" allowBlank="1" showInputMessage="1" showErrorMessage="1" sqref="D39" xr:uid="{00000000-0002-0000-0000-000000000000}">
      <formula1>"To be,Not to be"</formula1>
    </dataValidation>
    <dataValidation type="list" allowBlank="1" showInputMessage="1" showErrorMessage="1" sqref="D40" xr:uid="{00000000-0002-0000-0000-000001000000}">
      <formula1>"Tomato,Tomato"</formula1>
    </dataValidation>
  </dataValidations>
  <hyperlinks>
    <hyperlink ref="C103" r:id="rId1" xr:uid="{48D45A0F-C861-9C4A-9391-6A8D68BEBF16}"/>
  </hyperlinks>
  <pageMargins left="0.75" right="0.75" top="1" bottom="1" header="0.5" footer="0.5"/>
  <pageSetup orientation="portrait" horizontalDpi="4294967292" verticalDpi="4294967292"/>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B1:Q54"/>
  <sheetViews>
    <sheetView tabSelected="1" workbookViewId="0">
      <pane ySplit="1" topLeftCell="A3" activePane="bottomLeft" state="frozenSplit"/>
      <selection pane="bottomLeft" activeCell="S41" sqref="S41"/>
    </sheetView>
  </sheetViews>
  <sheetFormatPr baseColWidth="10" defaultColWidth="10.83203125" defaultRowHeight="16" outlineLevelCol="1"/>
  <cols>
    <col min="1" max="2" width="2.5" style="50" customWidth="1"/>
    <col min="3" max="3" width="23.5" style="50" customWidth="1"/>
    <col min="4" max="4" width="8.83203125" style="50" bestFit="1" customWidth="1"/>
    <col min="5" max="5" width="2.5" style="50" customWidth="1"/>
    <col min="6" max="6" width="4.83203125" style="50" customWidth="1"/>
    <col min="7" max="9" width="2.5" style="50" customWidth="1"/>
    <col min="10" max="10" width="30.6640625" style="50" customWidth="1"/>
    <col min="11" max="11" width="19.1640625" style="50" bestFit="1" customWidth="1"/>
    <col min="12" max="13" width="8.6640625" style="50" bestFit="1" customWidth="1" outlineLevel="1"/>
    <col min="14" max="14" width="6.33203125" style="50" customWidth="1"/>
    <col min="15" max="15" width="2.5" style="50" customWidth="1"/>
    <col min="16" max="16" width="6" style="50" customWidth="1"/>
    <col min="17" max="17" width="2.5" style="50" customWidth="1"/>
    <col min="18" max="16384" width="10.83203125" style="50"/>
  </cols>
  <sheetData>
    <row r="1" spans="2:17" s="36" customFormat="1" ht="24" customHeight="1">
      <c r="B1" s="108" t="str">
        <f>"CatCost v"&amp;Version&amp;": "&amp;EstimateName</f>
        <v>CatCost v1.0.0: FCC RE USY</v>
      </c>
      <c r="E1" s="10"/>
      <c r="N1" s="109" t="s">
        <v>44</v>
      </c>
    </row>
    <row r="2" spans="2:17" ht="17" thickBot="1"/>
    <row r="3" spans="2:17" ht="21" thickBot="1">
      <c r="B3" s="417" t="s">
        <v>415</v>
      </c>
      <c r="C3" s="418"/>
      <c r="D3" s="418"/>
      <c r="E3" s="418"/>
      <c r="F3" s="418"/>
      <c r="G3" s="419"/>
      <c r="I3" s="417" t="s">
        <v>910</v>
      </c>
      <c r="J3" s="418"/>
      <c r="K3" s="418"/>
      <c r="L3" s="418"/>
      <c r="M3" s="418"/>
      <c r="N3" s="418"/>
      <c r="O3" s="418"/>
      <c r="P3" s="418"/>
      <c r="Q3" s="419"/>
    </row>
    <row r="4" spans="2:17">
      <c r="B4" s="32"/>
      <c r="C4" s="33"/>
      <c r="D4" s="33"/>
      <c r="E4" s="33"/>
      <c r="F4" s="33"/>
      <c r="G4" s="34"/>
      <c r="I4" s="153"/>
      <c r="J4" s="154"/>
      <c r="K4" s="238"/>
      <c r="L4" s="154"/>
      <c r="M4" s="154"/>
      <c r="N4" s="154"/>
      <c r="O4" s="154"/>
      <c r="P4" s="154"/>
      <c r="Q4" s="155"/>
    </row>
    <row r="5" spans="2:17">
      <c r="B5" s="32"/>
      <c r="C5" s="17" t="s">
        <v>43</v>
      </c>
      <c r="D5" s="57"/>
      <c r="E5" s="33"/>
      <c r="F5" s="33"/>
      <c r="G5" s="34"/>
      <c r="I5" s="32"/>
      <c r="J5" s="17" t="s">
        <v>1750</v>
      </c>
      <c r="K5" s="35"/>
      <c r="L5" s="33"/>
      <c r="M5" s="33"/>
      <c r="N5" s="33"/>
      <c r="O5" s="33"/>
      <c r="P5" s="33"/>
      <c r="Q5" s="34"/>
    </row>
    <row r="6" spans="2:17">
      <c r="B6" s="32"/>
      <c r="C6" s="43" t="s">
        <v>1843</v>
      </c>
      <c r="D6" s="33"/>
      <c r="E6" s="33"/>
      <c r="F6" s="33"/>
      <c r="G6" s="34"/>
      <c r="I6" s="32"/>
      <c r="J6" s="33" t="s">
        <v>1722</v>
      </c>
      <c r="K6" s="35"/>
      <c r="L6" s="33"/>
      <c r="M6" s="33"/>
      <c r="N6" s="33"/>
      <c r="O6" s="33"/>
      <c r="P6" s="33"/>
      <c r="Q6" s="34"/>
    </row>
    <row r="7" spans="2:17">
      <c r="B7" s="32"/>
      <c r="C7" s="33"/>
      <c r="D7" s="33"/>
      <c r="E7" s="33"/>
      <c r="F7" s="33"/>
      <c r="G7" s="34"/>
      <c r="I7" s="32"/>
      <c r="J7" s="33" t="s">
        <v>1742</v>
      </c>
      <c r="K7" s="35"/>
      <c r="L7" s="33"/>
      <c r="M7" s="33"/>
      <c r="N7" s="33"/>
      <c r="O7" s="33"/>
      <c r="P7" s="33"/>
      <c r="Q7" s="34"/>
    </row>
    <row r="8" spans="2:17">
      <c r="B8" s="32"/>
      <c r="C8" s="17" t="s">
        <v>0</v>
      </c>
      <c r="D8" s="33"/>
      <c r="E8" s="33"/>
      <c r="F8" s="33"/>
      <c r="G8" s="34"/>
      <c r="I8" s="32"/>
      <c r="J8" s="390" t="s">
        <v>1734</v>
      </c>
      <c r="K8" s="35"/>
      <c r="L8" s="33"/>
      <c r="M8" s="33"/>
      <c r="N8" s="33"/>
      <c r="O8" s="33"/>
      <c r="P8" s="33"/>
      <c r="Q8" s="34"/>
    </row>
    <row r="9" spans="2:17">
      <c r="B9" s="32"/>
      <c r="C9" s="33" t="s">
        <v>975</v>
      </c>
      <c r="D9" s="43">
        <v>2016</v>
      </c>
      <c r="E9" s="33"/>
      <c r="F9" s="42" t="s">
        <v>162</v>
      </c>
      <c r="G9" s="34"/>
      <c r="I9" s="32"/>
      <c r="J9" s="33" t="s">
        <v>1743</v>
      </c>
      <c r="K9" s="35"/>
      <c r="L9" s="33"/>
      <c r="M9" s="33"/>
      <c r="N9" s="33"/>
      <c r="O9" s="33"/>
      <c r="P9" s="33"/>
      <c r="Q9" s="34"/>
    </row>
    <row r="10" spans="2:17">
      <c r="B10" s="32"/>
      <c r="C10" s="33" t="s">
        <v>1</v>
      </c>
      <c r="D10" s="43" t="s">
        <v>10</v>
      </c>
      <c r="E10" s="33"/>
      <c r="F10" s="42" t="s">
        <v>162</v>
      </c>
      <c r="G10" s="34"/>
      <c r="I10" s="32"/>
      <c r="J10" s="390" t="s">
        <v>1744</v>
      </c>
      <c r="K10" s="35"/>
      <c r="L10" s="33"/>
      <c r="M10" s="33"/>
      <c r="N10" s="33"/>
      <c r="O10" s="33"/>
      <c r="P10" s="33"/>
      <c r="Q10" s="34"/>
    </row>
    <row r="11" spans="2:17">
      <c r="B11" s="32"/>
      <c r="C11" s="33" t="s">
        <v>42</v>
      </c>
      <c r="D11" s="43" t="str">
        <f>IF(D10="USD ($)","$","Enter Currency")</f>
        <v>$</v>
      </c>
      <c r="E11" s="33"/>
      <c r="F11" s="33"/>
      <c r="G11" s="34"/>
      <c r="I11" s="32"/>
      <c r="J11" s="33"/>
      <c r="K11" s="35"/>
      <c r="L11" s="33"/>
      <c r="M11" s="33"/>
      <c r="N11" s="33"/>
      <c r="O11" s="33"/>
      <c r="P11" s="33"/>
      <c r="Q11" s="34"/>
    </row>
    <row r="12" spans="2:17">
      <c r="B12" s="32"/>
      <c r="C12" s="33"/>
      <c r="D12" s="35"/>
      <c r="E12" s="33"/>
      <c r="F12" s="33"/>
      <c r="G12" s="34"/>
      <c r="I12" s="32"/>
      <c r="J12" s="33" t="s">
        <v>1738</v>
      </c>
      <c r="K12" s="35"/>
      <c r="L12" s="33"/>
      <c r="M12" s="33"/>
      <c r="N12" s="33"/>
      <c r="O12" s="33"/>
      <c r="P12" s="33"/>
      <c r="Q12" s="34"/>
    </row>
    <row r="13" spans="2:17">
      <c r="B13" s="32"/>
      <c r="C13" s="17" t="s">
        <v>5</v>
      </c>
      <c r="D13" s="37"/>
      <c r="E13" s="33"/>
      <c r="F13" s="33"/>
      <c r="G13" s="34"/>
      <c r="I13" s="32"/>
      <c r="J13" s="33" t="s">
        <v>1739</v>
      </c>
      <c r="K13" s="35"/>
      <c r="L13" s="33"/>
      <c r="M13" s="33"/>
      <c r="N13" s="33"/>
      <c r="O13" s="33"/>
      <c r="P13" s="33"/>
      <c r="Q13" s="34"/>
    </row>
    <row r="14" spans="2:17">
      <c r="B14" s="32"/>
      <c r="C14" s="33" t="s">
        <v>2</v>
      </c>
      <c r="D14" s="43" t="s">
        <v>20</v>
      </c>
      <c r="E14" s="33"/>
      <c r="F14" s="42" t="s">
        <v>162</v>
      </c>
      <c r="G14" s="34"/>
      <c r="I14" s="32"/>
      <c r="J14" s="33" t="s">
        <v>1735</v>
      </c>
      <c r="K14" s="35"/>
      <c r="L14" s="33"/>
      <c r="M14" s="33"/>
      <c r="N14" s="33"/>
      <c r="O14" s="33"/>
      <c r="P14" s="33"/>
      <c r="Q14" s="34"/>
    </row>
    <row r="15" spans="2:17" ht="17" thickBot="1">
      <c r="B15" s="39"/>
      <c r="C15" s="40"/>
      <c r="D15" s="236"/>
      <c r="E15" s="40"/>
      <c r="F15" s="40"/>
      <c r="G15" s="41"/>
      <c r="I15" s="32"/>
      <c r="J15" s="33" t="s">
        <v>1740</v>
      </c>
      <c r="K15" s="35"/>
      <c r="L15" s="33"/>
      <c r="M15" s="33"/>
      <c r="N15" s="33"/>
      <c r="O15" s="33"/>
      <c r="P15" s="33"/>
      <c r="Q15" s="34"/>
    </row>
    <row r="16" spans="2:17">
      <c r="I16" s="32"/>
      <c r="J16" s="33" t="s">
        <v>1741</v>
      </c>
      <c r="K16" s="35"/>
      <c r="L16" s="33"/>
      <c r="M16" s="33"/>
      <c r="N16" s="33"/>
      <c r="O16" s="33"/>
      <c r="P16" s="33"/>
      <c r="Q16" s="34"/>
    </row>
    <row r="17" spans="9:17" ht="17" thickBot="1">
      <c r="I17" s="39"/>
      <c r="J17" s="40"/>
      <c r="K17" s="236"/>
      <c r="L17" s="40"/>
      <c r="M17" s="40"/>
      <c r="N17" s="40"/>
      <c r="O17" s="40"/>
      <c r="P17" s="40"/>
      <c r="Q17" s="41"/>
    </row>
    <row r="18" spans="9:17">
      <c r="I18" s="32"/>
      <c r="J18" s="33"/>
      <c r="K18" s="35"/>
      <c r="L18" s="33"/>
      <c r="M18" s="33"/>
      <c r="N18" s="33"/>
      <c r="O18" s="33"/>
      <c r="P18" s="33"/>
      <c r="Q18" s="34"/>
    </row>
    <row r="19" spans="9:17">
      <c r="I19" s="32"/>
      <c r="J19" s="17" t="s">
        <v>1736</v>
      </c>
      <c r="K19" s="241"/>
      <c r="L19" s="33"/>
      <c r="M19" s="33"/>
      <c r="N19" s="33"/>
      <c r="O19" s="33"/>
      <c r="P19" s="33"/>
      <c r="Q19" s="34"/>
    </row>
    <row r="20" spans="9:17">
      <c r="I20" s="32"/>
      <c r="J20" s="17"/>
      <c r="K20" s="241"/>
      <c r="L20" s="33"/>
      <c r="M20" s="33"/>
      <c r="N20" s="33"/>
      <c r="O20" s="33"/>
      <c r="P20" s="33"/>
      <c r="Q20" s="34"/>
    </row>
    <row r="21" spans="9:17">
      <c r="I21" s="32"/>
      <c r="J21" s="17" t="s">
        <v>1745</v>
      </c>
      <c r="K21" s="65" t="s">
        <v>39</v>
      </c>
      <c r="L21" s="65" t="s">
        <v>40</v>
      </c>
      <c r="M21" s="65" t="s">
        <v>41</v>
      </c>
      <c r="N21" s="33"/>
      <c r="O21" s="33"/>
      <c r="P21" s="33"/>
      <c r="Q21" s="34"/>
    </row>
    <row r="22" spans="9:17">
      <c r="I22" s="32"/>
      <c r="J22" s="33" t="s">
        <v>911</v>
      </c>
      <c r="K22" s="239"/>
      <c r="L22" s="60"/>
      <c r="M22" s="60"/>
      <c r="N22" s="47" t="s">
        <v>406</v>
      </c>
      <c r="O22" s="33"/>
      <c r="P22" s="33"/>
      <c r="Q22" s="34"/>
    </row>
    <row r="23" spans="9:17">
      <c r="I23" s="32"/>
      <c r="J23" s="33" t="s">
        <v>912</v>
      </c>
      <c r="K23" s="51" t="str">
        <f>IF($K$22&lt;1,"",IF($K$22&lt;5,"Small (1 ton/day)",IF($K$22&lt;70,"Medium (10 ton/day)","Large (150 ton/day)")))</f>
        <v/>
      </c>
      <c r="L23" s="48"/>
      <c r="M23" s="48"/>
      <c r="N23" s="48"/>
      <c r="O23" s="33"/>
      <c r="P23" s="33"/>
      <c r="Q23" s="34"/>
    </row>
    <row r="24" spans="9:17">
      <c r="I24" s="32"/>
      <c r="J24" s="237" t="s">
        <v>913</v>
      </c>
      <c r="K24" s="240" t="str">
        <f>IF($K$22&lt;1,"",IF($K$22&lt;5,$K$22,IF($K$22&lt;70,$K$22/10,$K$22/150)))</f>
        <v/>
      </c>
      <c r="L24" s="48"/>
      <c r="M24" s="48"/>
      <c r="N24" s="48" t="s">
        <v>956</v>
      </c>
      <c r="O24" s="33"/>
      <c r="P24" s="33"/>
      <c r="Q24" s="34"/>
    </row>
    <row r="25" spans="9:17">
      <c r="I25" s="32"/>
      <c r="J25" s="237" t="s">
        <v>914</v>
      </c>
      <c r="K25" s="240" t="str">
        <f>IF($K$22&lt;1,"",IF($K$22&lt;5,0.5,1))</f>
        <v/>
      </c>
      <c r="L25" s="48"/>
      <c r="M25" s="48"/>
      <c r="N25" s="48" t="s">
        <v>956</v>
      </c>
      <c r="O25" s="33"/>
      <c r="P25" s="33"/>
      <c r="Q25" s="34"/>
    </row>
    <row r="26" spans="9:17">
      <c r="I26" s="32"/>
      <c r="J26" s="33" t="s">
        <v>1746</v>
      </c>
      <c r="K26" s="240" t="str">
        <f>IFERROR(K24+K25,"")</f>
        <v/>
      </c>
      <c r="L26" s="48"/>
      <c r="M26" s="48"/>
      <c r="N26" s="48" t="s">
        <v>956</v>
      </c>
      <c r="O26" s="33"/>
      <c r="P26" s="33"/>
      <c r="Q26" s="34"/>
    </row>
    <row r="27" spans="9:17">
      <c r="I27" s="32"/>
      <c r="J27" s="33"/>
      <c r="K27" s="240"/>
      <c r="L27" s="48"/>
      <c r="M27" s="48"/>
      <c r="N27" s="48"/>
      <c r="O27" s="33"/>
      <c r="P27" s="33"/>
      <c r="Q27" s="34"/>
    </row>
    <row r="28" spans="9:17">
      <c r="I28" s="32"/>
      <c r="J28" s="17" t="s">
        <v>1749</v>
      </c>
      <c r="K28" s="240"/>
      <c r="L28" s="48"/>
      <c r="M28" s="48"/>
      <c r="N28" s="48"/>
      <c r="O28" s="33"/>
      <c r="P28" s="33"/>
      <c r="Q28" s="34"/>
    </row>
    <row r="29" spans="9:17">
      <c r="I29" s="32"/>
      <c r="J29" s="33" t="s">
        <v>1747</v>
      </c>
      <c r="K29" s="239">
        <v>5</v>
      </c>
      <c r="L29" s="60"/>
      <c r="M29" s="60"/>
      <c r="N29" s="47" t="s">
        <v>9</v>
      </c>
      <c r="O29" s="33"/>
      <c r="P29" s="42" t="s">
        <v>162</v>
      </c>
      <c r="Q29" s="34"/>
    </row>
    <row r="30" spans="9:17">
      <c r="I30" s="32"/>
      <c r="J30" s="33" t="s">
        <v>1748</v>
      </c>
      <c r="K30" s="239">
        <v>5</v>
      </c>
      <c r="L30" s="60"/>
      <c r="M30" s="60"/>
      <c r="N30" s="47" t="s">
        <v>9</v>
      </c>
      <c r="O30" s="33"/>
      <c r="P30" s="42" t="s">
        <v>162</v>
      </c>
      <c r="Q30" s="34"/>
    </row>
    <row r="31" spans="9:17">
      <c r="I31" s="32"/>
      <c r="J31" s="33" t="s">
        <v>915</v>
      </c>
      <c r="K31" s="240" t="str">
        <f>IFERROR(60.976*K22^-0.28632,"")</f>
        <v/>
      </c>
      <c r="L31" s="48"/>
      <c r="M31" s="48"/>
      <c r="N31" s="48" t="s">
        <v>9</v>
      </c>
      <c r="O31" s="33"/>
      <c r="P31" s="42" t="s">
        <v>162</v>
      </c>
      <c r="Q31" s="34"/>
    </row>
    <row r="32" spans="9:17" ht="17" thickBot="1">
      <c r="I32" s="39"/>
      <c r="J32" s="40"/>
      <c r="K32" s="236"/>
      <c r="L32" s="40"/>
      <c r="M32" s="40"/>
      <c r="N32" s="40"/>
      <c r="O32" s="40"/>
      <c r="P32" s="40"/>
      <c r="Q32" s="41"/>
    </row>
    <row r="33" spans="9:17">
      <c r="I33" s="32"/>
      <c r="J33" s="33"/>
      <c r="K33" s="35"/>
      <c r="L33" s="33"/>
      <c r="M33" s="33"/>
      <c r="N33" s="33"/>
      <c r="O33" s="33"/>
      <c r="P33" s="33"/>
      <c r="Q33" s="34"/>
    </row>
    <row r="34" spans="9:17">
      <c r="I34" s="32"/>
      <c r="J34" s="17" t="s">
        <v>1737</v>
      </c>
      <c r="K34" s="35"/>
      <c r="L34" s="33"/>
      <c r="M34" s="33"/>
      <c r="N34" s="33"/>
      <c r="O34" s="33"/>
      <c r="P34" s="33"/>
      <c r="Q34" s="34"/>
    </row>
    <row r="35" spans="9:17">
      <c r="I35" s="32"/>
      <c r="J35" s="33"/>
      <c r="K35" s="35"/>
      <c r="L35" s="33"/>
      <c r="M35" s="33"/>
      <c r="N35" s="33"/>
      <c r="O35" s="33"/>
      <c r="P35" s="33"/>
      <c r="Q35" s="34"/>
    </row>
    <row r="36" spans="9:17">
      <c r="I36" s="32"/>
      <c r="J36" s="17" t="s">
        <v>389</v>
      </c>
      <c r="K36" s="65" t="s">
        <v>39</v>
      </c>
      <c r="L36" s="65" t="s">
        <v>40</v>
      </c>
      <c r="M36" s="65" t="s">
        <v>41</v>
      </c>
      <c r="N36" s="33"/>
      <c r="O36" s="33"/>
      <c r="P36" s="33"/>
      <c r="Q36" s="34"/>
    </row>
    <row r="37" spans="9:17">
      <c r="I37" s="32"/>
      <c r="J37" s="33" t="s">
        <v>12</v>
      </c>
      <c r="K37" s="44">
        <v>100000000</v>
      </c>
      <c r="L37" s="59">
        <v>50000000</v>
      </c>
      <c r="M37" s="59">
        <v>300000000</v>
      </c>
      <c r="N37" s="47" t="str">
        <f>IF(OutMassUnit="","",OutMassUnit)</f>
        <v>lb</v>
      </c>
      <c r="O37" s="33"/>
      <c r="P37" s="42" t="s">
        <v>162</v>
      </c>
      <c r="Q37" s="34"/>
    </row>
    <row r="38" spans="9:17">
      <c r="I38" s="32"/>
      <c r="J38" s="33" t="s">
        <v>6</v>
      </c>
      <c r="K38" s="45">
        <v>100</v>
      </c>
      <c r="L38" s="60">
        <v>80</v>
      </c>
      <c r="M38" s="60">
        <v>105</v>
      </c>
      <c r="N38" s="47" t="s">
        <v>9</v>
      </c>
      <c r="O38" s="33"/>
      <c r="P38" s="42" t="s">
        <v>162</v>
      </c>
      <c r="Q38" s="34"/>
    </row>
    <row r="39" spans="9:17">
      <c r="I39" s="32"/>
      <c r="J39" s="33" t="s">
        <v>14</v>
      </c>
      <c r="K39" s="49">
        <f>K37*K38/100</f>
        <v>100000000</v>
      </c>
      <c r="L39" s="38"/>
      <c r="M39" s="38"/>
      <c r="N39" s="48" t="str">
        <f>IF(OutMassUnit="","",OutMassUnit)</f>
        <v>lb</v>
      </c>
      <c r="O39" s="33"/>
      <c r="P39" s="42" t="s">
        <v>162</v>
      </c>
      <c r="Q39" s="34"/>
    </row>
    <row r="40" spans="9:17">
      <c r="I40" s="32"/>
      <c r="J40" s="33"/>
      <c r="K40" s="35"/>
      <c r="L40" s="33"/>
      <c r="M40" s="33"/>
      <c r="N40" s="33"/>
      <c r="O40" s="33"/>
      <c r="P40" s="33"/>
      <c r="Q40" s="34"/>
    </row>
    <row r="41" spans="9:17">
      <c r="I41" s="32"/>
      <c r="J41" s="17" t="s">
        <v>15</v>
      </c>
      <c r="K41" s="35"/>
      <c r="L41" s="33"/>
      <c r="M41" s="33"/>
      <c r="N41" s="33"/>
      <c r="O41" s="33"/>
      <c r="P41" s="33"/>
      <c r="Q41" s="34"/>
    </row>
    <row r="42" spans="9:17">
      <c r="I42" s="32"/>
      <c r="J42" s="33" t="s">
        <v>11</v>
      </c>
      <c r="K42" s="45">
        <f>365*24</f>
        <v>8760</v>
      </c>
      <c r="L42" s="60"/>
      <c r="M42" s="60"/>
      <c r="N42" s="47" t="s">
        <v>7</v>
      </c>
      <c r="O42" s="33"/>
      <c r="P42" s="42" t="s">
        <v>162</v>
      </c>
      <c r="Q42" s="34"/>
    </row>
    <row r="43" spans="9:17">
      <c r="I43" s="32"/>
      <c r="J43" s="33" t="s">
        <v>909</v>
      </c>
      <c r="K43" s="45">
        <v>90</v>
      </c>
      <c r="L43" s="60">
        <v>85</v>
      </c>
      <c r="M43" s="60">
        <v>95</v>
      </c>
      <c r="N43" s="47" t="s">
        <v>9</v>
      </c>
      <c r="O43" s="33"/>
      <c r="P43" s="42" t="s">
        <v>162</v>
      </c>
      <c r="Q43" s="34"/>
    </row>
    <row r="44" spans="9:17">
      <c r="I44" s="32"/>
      <c r="J44" s="33" t="s">
        <v>13</v>
      </c>
      <c r="K44" s="51">
        <f>K42*K43/100</f>
        <v>7884</v>
      </c>
      <c r="L44" s="33"/>
      <c r="M44" s="33"/>
      <c r="N44" s="48" t="s">
        <v>7</v>
      </c>
      <c r="O44" s="33"/>
      <c r="P44" s="42" t="s">
        <v>162</v>
      </c>
      <c r="Q44" s="34"/>
    </row>
    <row r="45" spans="9:17">
      <c r="I45" s="32"/>
      <c r="J45" s="33" t="s">
        <v>16</v>
      </c>
      <c r="K45" s="49">
        <f>K37/K44</f>
        <v>12683.916793505834</v>
      </c>
      <c r="L45" s="38"/>
      <c r="M45" s="38"/>
      <c r="N45" s="48" t="str">
        <f>IF(OutMassUnit="","",OutMassUnit&amp;"/hr")</f>
        <v>lb/hr</v>
      </c>
      <c r="O45" s="33"/>
      <c r="P45" s="42" t="s">
        <v>162</v>
      </c>
      <c r="Q45" s="34"/>
    </row>
    <row r="46" spans="9:17">
      <c r="I46" s="32"/>
      <c r="J46" s="33"/>
      <c r="K46" s="49"/>
      <c r="L46" s="38"/>
      <c r="M46" s="38"/>
      <c r="N46" s="48"/>
      <c r="O46" s="33"/>
      <c r="P46" s="33"/>
      <c r="Q46" s="34"/>
    </row>
    <row r="47" spans="9:17">
      <c r="I47" s="32"/>
      <c r="J47" s="17" t="s">
        <v>1119</v>
      </c>
      <c r="K47" s="49"/>
      <c r="L47" s="38"/>
      <c r="M47" s="38"/>
      <c r="N47" s="48"/>
      <c r="O47" s="33"/>
      <c r="P47" s="33"/>
      <c r="Q47" s="34"/>
    </row>
    <row r="48" spans="9:17">
      <c r="I48" s="32"/>
      <c r="J48" s="33" t="s">
        <v>1120</v>
      </c>
      <c r="K48" s="45">
        <v>10</v>
      </c>
      <c r="L48" s="60"/>
      <c r="M48" s="60"/>
      <c r="N48" s="47" t="s">
        <v>8</v>
      </c>
      <c r="O48" s="33"/>
      <c r="P48" s="42" t="s">
        <v>162</v>
      </c>
      <c r="Q48" s="34"/>
    </row>
    <row r="49" spans="9:17">
      <c r="I49" s="32"/>
      <c r="J49" s="33"/>
      <c r="K49" s="49"/>
      <c r="L49" s="38"/>
      <c r="M49" s="38"/>
      <c r="N49" s="48"/>
      <c r="O49" s="33"/>
      <c r="P49" s="33"/>
      <c r="Q49" s="34"/>
    </row>
    <row r="50" spans="9:17">
      <c r="I50" s="32"/>
      <c r="J50" s="17" t="s">
        <v>915</v>
      </c>
      <c r="K50" s="49"/>
      <c r="L50" s="38"/>
      <c r="M50" s="38"/>
      <c r="N50" s="48"/>
      <c r="O50" s="33"/>
      <c r="P50" s="33"/>
      <c r="Q50" s="34"/>
    </row>
    <row r="51" spans="9:17">
      <c r="I51" s="32"/>
      <c r="J51" s="33" t="s">
        <v>916</v>
      </c>
      <c r="K51" s="43" t="s">
        <v>1829</v>
      </c>
      <c r="L51" s="38"/>
      <c r="M51" s="38"/>
      <c r="N51" s="48"/>
      <c r="O51" s="33"/>
      <c r="P51" s="33"/>
      <c r="Q51" s="34"/>
    </row>
    <row r="52" spans="9:17">
      <c r="I52" s="32"/>
      <c r="J52" s="33" t="s">
        <v>1117</v>
      </c>
      <c r="K52" s="45">
        <v>25</v>
      </c>
      <c r="L52" s="60">
        <v>20</v>
      </c>
      <c r="M52" s="60">
        <v>30</v>
      </c>
      <c r="N52" s="47" t="s">
        <v>917</v>
      </c>
      <c r="O52" s="33"/>
      <c r="P52" s="33"/>
      <c r="Q52" s="34"/>
    </row>
    <row r="53" spans="9:17">
      <c r="I53" s="32"/>
      <c r="J53" s="33" t="s">
        <v>918</v>
      </c>
      <c r="K53" s="45"/>
      <c r="L53" s="60"/>
      <c r="M53" s="60"/>
      <c r="N53" s="47" t="s">
        <v>9</v>
      </c>
      <c r="O53" s="33"/>
      <c r="P53" s="33"/>
      <c r="Q53" s="34"/>
    </row>
    <row r="54" spans="9:17" ht="17" thickBot="1">
      <c r="I54" s="39"/>
      <c r="J54" s="40"/>
      <c r="K54" s="40"/>
      <c r="L54" s="40"/>
      <c r="M54" s="40"/>
      <c r="N54" s="40"/>
      <c r="O54" s="40"/>
      <c r="P54" s="40"/>
      <c r="Q54" s="41"/>
    </row>
  </sheetData>
  <mergeCells count="2">
    <mergeCell ref="B3:G3"/>
    <mergeCell ref="I3:Q3"/>
  </mergeCells>
  <conditionalFormatting sqref="D9 K37:K38 K42:K43 D11 C6">
    <cfRule type="containsBlanks" dxfId="215" priority="17">
      <formula>LEN(TRIM(C6))=0</formula>
    </cfRule>
  </conditionalFormatting>
  <conditionalFormatting sqref="K22">
    <cfRule type="containsBlanks" dxfId="214" priority="14">
      <formula>LEN(TRIM(K22))=0</formula>
    </cfRule>
  </conditionalFormatting>
  <conditionalFormatting sqref="K52">
    <cfRule type="containsBlanks" dxfId="213" priority="12">
      <formula>LEN(TRIM(K52))=0</formula>
    </cfRule>
  </conditionalFormatting>
  <conditionalFormatting sqref="K53">
    <cfRule type="containsBlanks" dxfId="212" priority="11">
      <formula>LEN(TRIM(K53))=0</formula>
    </cfRule>
  </conditionalFormatting>
  <conditionalFormatting sqref="D10">
    <cfRule type="containsBlanks" dxfId="211" priority="10">
      <formula>LEN(TRIM(D10))=0</formula>
    </cfRule>
  </conditionalFormatting>
  <conditionalFormatting sqref="D14">
    <cfRule type="containsBlanks" dxfId="210" priority="9">
      <formula>LEN(TRIM(D14))=0</formula>
    </cfRule>
  </conditionalFormatting>
  <conditionalFormatting sqref="K51">
    <cfRule type="containsBlanks" dxfId="209" priority="7">
      <formula>LEN(TRIM(K51))=0</formula>
    </cfRule>
  </conditionalFormatting>
  <conditionalFormatting sqref="K48">
    <cfRule type="containsBlanks" dxfId="208" priority="6">
      <formula>LEN(TRIM(K48))=0</formula>
    </cfRule>
  </conditionalFormatting>
  <conditionalFormatting sqref="K53:M53">
    <cfRule type="expression" dxfId="207" priority="3">
      <formula>$K$51="ROI"</formula>
    </cfRule>
  </conditionalFormatting>
  <conditionalFormatting sqref="K29">
    <cfRule type="containsBlanks" dxfId="206" priority="2">
      <formula>LEN(TRIM(K29))=0</formula>
    </cfRule>
  </conditionalFormatting>
  <conditionalFormatting sqref="K30">
    <cfRule type="containsBlanks" dxfId="205" priority="1">
      <formula>LEN(TRIM(K30))=0</formula>
    </cfRule>
  </conditionalFormatting>
  <conditionalFormatting sqref="K52:M52">
    <cfRule type="expression" dxfId="204" priority="5">
      <formula>$K$51="% of costs"</formula>
    </cfRule>
  </conditionalFormatting>
  <dataValidations count="3">
    <dataValidation type="list" allowBlank="1" showInputMessage="1" showErrorMessage="1" sqref="D10" xr:uid="{00000000-0002-0000-0100-000000000000}">
      <formula1>"USD ($)"</formula1>
    </dataValidation>
    <dataValidation type="list" allowBlank="1" showInputMessage="1" showErrorMessage="1" sqref="D14" xr:uid="{00000000-0002-0000-0100-000001000000}">
      <formula1>MassUnits</formula1>
    </dataValidation>
    <dataValidation type="list" allowBlank="1" showInputMessage="1" showErrorMessage="1" sqref="K51" xr:uid="{13AC2474-234D-4249-BB65-6C46E196390E}">
      <formula1>"ROI,% of costs,Both"</formula1>
    </dataValidation>
  </dataValidations>
  <pageMargins left="0.75" right="0.75" top="1" bottom="1" header="0.5" footer="0.5"/>
  <pageSetup orientation="portrait" horizontalDpi="4294967292" verticalDpi="4294967292"/>
  <ignoredErrors>
    <ignoredError sqref="A1:XFD5 A10:XFD13 A9:C9 E9:XFD9 A15:XFD21 A14:C14 E14:XFD14 A23:XFD36 A22:J22 L22:XFD22 A54:XFD1048576 A53:J53 L53:XFD53 A52:XFD52 A51:J51 L51:XFD51 A38:XFD42 A37:J37 N37:XFD37 A7:XFD8 A6:B6 D6:XFD6 A44:XFD50 A43:K43 N43:XFD43" emptyCellReference="1"/>
  </ignoredErrors>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B1:T56"/>
  <sheetViews>
    <sheetView zoomScaleNormal="100" workbookViewId="0">
      <pane ySplit="1" topLeftCell="A2" activePane="bottomLeft" state="frozenSplit"/>
      <selection sqref="A1:XFD1"/>
      <selection pane="bottomLeft"/>
    </sheetView>
  </sheetViews>
  <sheetFormatPr baseColWidth="10" defaultColWidth="11" defaultRowHeight="16" outlineLevelCol="1"/>
  <cols>
    <col min="1" max="2" width="2.5" style="11" customWidth="1"/>
    <col min="3" max="3" width="34.6640625" style="11" customWidth="1"/>
    <col min="4" max="4" width="12.33203125" style="11" customWidth="1"/>
    <col min="5" max="6" width="11.33203125" style="11" customWidth="1" outlineLevel="1"/>
    <col min="7" max="7" width="8.1640625" style="11" customWidth="1"/>
    <col min="8" max="8" width="2.5" style="11" customWidth="1"/>
    <col min="9" max="9" width="11.33203125" style="11" bestFit="1" customWidth="1"/>
    <col min="10" max="10" width="2.5" style="11" customWidth="1"/>
    <col min="11" max="11" width="13.33203125" style="11" customWidth="1"/>
    <col min="12" max="12" width="25.83203125" style="11" bestFit="1" customWidth="1"/>
    <col min="13" max="13" width="23.83203125" style="11" customWidth="1"/>
    <col min="14" max="15" width="11.83203125" style="11" hidden="1" customWidth="1" outlineLevel="1"/>
    <col min="16" max="16" width="2.5" style="11" customWidth="1" collapsed="1"/>
    <col min="17" max="17" width="22.1640625" style="11" customWidth="1"/>
    <col min="18" max="18" width="19" style="11" customWidth="1"/>
    <col min="19" max="19" width="2.5" style="11" customWidth="1"/>
    <col min="20" max="16384" width="11" style="11"/>
  </cols>
  <sheetData>
    <row r="1" spans="2:19" s="10" customFormat="1" ht="24" customHeight="1">
      <c r="B1" s="108" t="str">
        <f>"CatCost v"&amp;Version&amp;": "&amp;EstimateName</f>
        <v>CatCost v1.0.0: FCC RE USY</v>
      </c>
      <c r="G1" s="109" t="s">
        <v>44</v>
      </c>
      <c r="H1" s="110"/>
      <c r="I1" s="110"/>
      <c r="J1" s="110"/>
      <c r="K1" s="110"/>
      <c r="L1" s="110"/>
      <c r="M1" s="110"/>
      <c r="N1" s="110"/>
      <c r="O1" s="110"/>
      <c r="P1" s="110"/>
      <c r="Q1" s="109" t="s">
        <v>44</v>
      </c>
      <c r="R1" s="110"/>
    </row>
    <row r="2" spans="2:19" ht="17" thickBot="1"/>
    <row r="3" spans="2:19" ht="21" thickBot="1">
      <c r="B3" s="417" t="s">
        <v>416</v>
      </c>
      <c r="C3" s="418"/>
      <c r="D3" s="419"/>
      <c r="E3" s="98"/>
      <c r="F3" s="98"/>
      <c r="G3" s="98"/>
      <c r="H3" s="98"/>
      <c r="I3" s="98"/>
      <c r="J3" s="98"/>
      <c r="K3" s="55"/>
    </row>
    <row r="4" spans="2:19" ht="15" customHeight="1">
      <c r="B4" s="16"/>
      <c r="C4" s="52"/>
      <c r="D4" s="52"/>
      <c r="E4" s="52"/>
      <c r="F4" s="52"/>
      <c r="G4" s="52"/>
      <c r="H4" s="52"/>
      <c r="I4" s="52"/>
      <c r="J4" s="53"/>
    </row>
    <row r="5" spans="2:19">
      <c r="B5" s="16"/>
      <c r="C5" s="17" t="s">
        <v>24</v>
      </c>
      <c r="D5" s="113" t="s">
        <v>39</v>
      </c>
      <c r="E5" s="113" t="s">
        <v>40</v>
      </c>
      <c r="F5" s="113" t="s">
        <v>41</v>
      </c>
      <c r="G5" s="64" t="s">
        <v>175</v>
      </c>
      <c r="H5" s="18"/>
      <c r="I5" s="18"/>
      <c r="J5" s="19"/>
    </row>
    <row r="6" spans="2:19">
      <c r="B6" s="16"/>
      <c r="C6" s="18" t="s">
        <v>27</v>
      </c>
      <c r="D6" s="43" t="s">
        <v>387</v>
      </c>
      <c r="E6" s="18"/>
      <c r="F6" s="18"/>
      <c r="G6" s="18"/>
      <c r="H6" s="18"/>
      <c r="I6" s="42" t="s">
        <v>162</v>
      </c>
      <c r="J6" s="19"/>
    </row>
    <row r="7" spans="2:19">
      <c r="B7" s="16"/>
      <c r="C7" s="18" t="str">
        <f>IF($D$6="% Yield","% Yield of Finished Catalyst",IF($D$6="AP Mass","Active Phase Mass Yield",IF($D$6="Catalyst Mass","Finished Catalyst Mass Yield","&gt;&gt;&gt; Select a Yield Type")))</f>
        <v>Finished Catalyst Mass Yield</v>
      </c>
      <c r="D7" s="45">
        <v>1</v>
      </c>
      <c r="E7" s="60">
        <v>0.8</v>
      </c>
      <c r="F7" s="60"/>
      <c r="G7" s="47" t="str">
        <f>IF($D$6="% Yield","%",IF(OutMassUnit="","",IF($D$6="AP Mass",OutMassUnit,IF($D$6="Catalyst Mass",OutMassUnit,""))))</f>
        <v>lb</v>
      </c>
      <c r="H7" s="18"/>
      <c r="I7" s="18"/>
      <c r="J7" s="19"/>
    </row>
    <row r="8" spans="2:19" ht="15" customHeight="1">
      <c r="B8" s="16"/>
      <c r="C8" s="18" t="s">
        <v>35</v>
      </c>
      <c r="D8" s="56"/>
      <c r="E8" s="352"/>
      <c r="F8" s="62"/>
      <c r="G8" s="47" t="s">
        <v>1082</v>
      </c>
      <c r="H8" s="18"/>
      <c r="I8" s="42" t="s">
        <v>162</v>
      </c>
      <c r="J8" s="19"/>
    </row>
    <row r="9" spans="2:19" ht="15" customHeight="1">
      <c r="B9" s="16"/>
      <c r="C9" s="18" t="s">
        <v>26</v>
      </c>
      <c r="D9" s="56"/>
      <c r="E9" s="63"/>
      <c r="F9" s="63"/>
      <c r="G9" s="47" t="s">
        <v>123</v>
      </c>
      <c r="H9" s="18"/>
      <c r="I9" s="42" t="s">
        <v>162</v>
      </c>
      <c r="J9" s="19"/>
    </row>
    <row r="10" spans="2:19" ht="17" thickBot="1">
      <c r="B10" s="16"/>
      <c r="C10" s="18" t="s">
        <v>25</v>
      </c>
      <c r="D10" s="45">
        <v>100</v>
      </c>
      <c r="E10" s="63"/>
      <c r="F10" s="63"/>
      <c r="G10" s="58" t="s">
        <v>9</v>
      </c>
      <c r="H10" s="18"/>
      <c r="I10" s="42" t="s">
        <v>162</v>
      </c>
      <c r="J10" s="19"/>
    </row>
    <row r="11" spans="2:19" ht="21" thickBot="1">
      <c r="B11" s="16"/>
      <c r="C11" s="18" t="s">
        <v>33</v>
      </c>
      <c r="D11" s="54">
        <f>IF($D$6="% Yield",IFERROR(SUM(K21:K25)*D7/100*D8*D9*VLOOKUP("g",UnitConv[],5,FALSE)/VLOOKUP(OutMassUnit,UnitConv[],5,FALSE),"---"),IF($D$6="AP Mass",$D$7,IF($D$6="Catalyst Mass",$D$7*$D$10/100,"")))</f>
        <v>1</v>
      </c>
      <c r="E11" s="48"/>
      <c r="F11" s="48"/>
      <c r="G11" s="48" t="str">
        <f>IF(OutMassUnit="","",OutMassUnit)</f>
        <v>lb</v>
      </c>
      <c r="H11" s="18"/>
      <c r="I11" s="18"/>
      <c r="J11" s="19"/>
      <c r="P11" s="417" t="s">
        <v>417</v>
      </c>
      <c r="Q11" s="418"/>
      <c r="R11" s="418"/>
      <c r="S11" s="419"/>
    </row>
    <row r="12" spans="2:19">
      <c r="B12" s="16"/>
      <c r="C12" s="18" t="s">
        <v>34</v>
      </c>
      <c r="D12" s="54">
        <f>IFERROR($D$11/$D$10*100,"---")</f>
        <v>1</v>
      </c>
      <c r="E12" s="48"/>
      <c r="F12" s="48"/>
      <c r="G12" s="48" t="str">
        <f>IF(OutMassUnit="","",OutMassUnit)</f>
        <v>lb</v>
      </c>
      <c r="H12" s="18"/>
      <c r="I12" s="18"/>
      <c r="J12" s="19"/>
      <c r="P12" s="13"/>
      <c r="Q12" s="14"/>
      <c r="R12" s="14"/>
      <c r="S12" s="15"/>
    </row>
    <row r="13" spans="2:19">
      <c r="B13" s="16"/>
      <c r="C13" s="18"/>
      <c r="D13" s="18"/>
      <c r="E13" s="18"/>
      <c r="F13" s="18"/>
      <c r="G13" s="18"/>
      <c r="H13" s="18"/>
      <c r="I13" s="18"/>
      <c r="J13" s="19"/>
      <c r="P13" s="16"/>
      <c r="Q13" s="91" t="str">
        <f>"Cost ("&amp;CurrencySymbol&amp;"/"&amp;OutMassUnit&amp;" catalyst)"</f>
        <v>Cost ($/lb catalyst)</v>
      </c>
      <c r="R13" s="92" t="str">
        <f>"Cost ("&amp;CurrencySymbol&amp;"/year)"</f>
        <v>Cost ($/year)</v>
      </c>
      <c r="S13" s="19"/>
    </row>
    <row r="14" spans="2:19">
      <c r="B14" s="16"/>
      <c r="C14" s="20" t="s">
        <v>218</v>
      </c>
      <c r="D14" s="45">
        <v>3</v>
      </c>
      <c r="E14" s="60">
        <v>2</v>
      </c>
      <c r="F14" s="60">
        <v>5</v>
      </c>
      <c r="G14" s="47" t="s">
        <v>9</v>
      </c>
      <c r="H14" s="18"/>
      <c r="I14" s="42" t="s">
        <v>162</v>
      </c>
      <c r="J14" s="19"/>
      <c r="P14" s="16"/>
      <c r="Q14" s="93">
        <f>SUM(Q21:Q25,Q32:Q36,Q43:Q55)</f>
        <v>0.36294109999999996</v>
      </c>
      <c r="R14" s="94">
        <f>SUM(R21:R25,R32:R36,R43:R55)</f>
        <v>36294110</v>
      </c>
      <c r="S14" s="19"/>
    </row>
    <row r="15" spans="2:19" ht="17" thickBot="1">
      <c r="B15" s="21"/>
      <c r="C15" s="22"/>
      <c r="D15" s="22"/>
      <c r="E15" s="22"/>
      <c r="F15" s="22"/>
      <c r="G15" s="22"/>
      <c r="H15" s="22"/>
      <c r="I15" s="22"/>
      <c r="J15" s="23"/>
      <c r="P15" s="21"/>
      <c r="Q15" s="22"/>
      <c r="R15" s="22"/>
      <c r="S15" s="23"/>
    </row>
    <row r="16" spans="2:19" ht="17" thickBot="1"/>
    <row r="17" spans="2:19" ht="21" thickBot="1">
      <c r="B17" s="417" t="s">
        <v>440</v>
      </c>
      <c r="C17" s="418"/>
      <c r="D17" s="419"/>
      <c r="E17" s="98"/>
    </row>
    <row r="18" spans="2:19" ht="15" customHeight="1">
      <c r="B18" s="68"/>
      <c r="C18" s="14"/>
      <c r="D18" s="14"/>
      <c r="E18" s="18"/>
      <c r="F18" s="14"/>
      <c r="G18" s="14"/>
      <c r="H18" s="14"/>
      <c r="I18" s="14"/>
      <c r="J18" s="14"/>
      <c r="K18" s="14"/>
      <c r="L18" s="14"/>
      <c r="M18" s="14"/>
      <c r="N18" s="14"/>
      <c r="O18" s="14"/>
      <c r="P18" s="14"/>
      <c r="Q18" s="14"/>
      <c r="R18" s="14"/>
      <c r="S18" s="15"/>
    </row>
    <row r="19" spans="2:19" ht="19">
      <c r="B19" s="16"/>
      <c r="C19" s="424" t="s">
        <v>21</v>
      </c>
      <c r="D19" s="424"/>
      <c r="E19" s="424"/>
      <c r="F19" s="424"/>
      <c r="G19" s="424"/>
      <c r="H19" s="87"/>
      <c r="I19" s="424" t="s">
        <v>23</v>
      </c>
      <c r="J19" s="424"/>
      <c r="K19" s="424"/>
      <c r="L19" s="424"/>
      <c r="M19" s="424"/>
      <c r="N19" s="424"/>
      <c r="O19" s="424"/>
      <c r="P19" s="88"/>
      <c r="Q19" s="424" t="s">
        <v>217</v>
      </c>
      <c r="R19" s="424"/>
      <c r="S19" s="19"/>
    </row>
    <row r="20" spans="2:19">
      <c r="B20" s="16"/>
      <c r="C20" s="64" t="s">
        <v>17</v>
      </c>
      <c r="D20" s="64" t="s">
        <v>22</v>
      </c>
      <c r="E20" s="65" t="s">
        <v>37</v>
      </c>
      <c r="F20" s="65" t="s">
        <v>38</v>
      </c>
      <c r="G20" s="64" t="s">
        <v>18</v>
      </c>
      <c r="H20" s="64"/>
      <c r="I20" s="64" t="str">
        <f>"Q in "&amp;OutMassUnit</f>
        <v>Q in lb</v>
      </c>
      <c r="J20" s="64"/>
      <c r="K20" s="64" t="s">
        <v>36</v>
      </c>
      <c r="L20" s="64" t="str">
        <f>"Q ("&amp;OutMassUnit&amp;"/"&amp;OutMassUnit&amp;" catalyst)"</f>
        <v>Q (lb/lb catalyst)</v>
      </c>
      <c r="M20" s="64" t="str">
        <f>"Unit Price ("&amp;BasisYear&amp;" "&amp;CurrencySymbol&amp;"/"&amp;OutMassUnit&amp;")"</f>
        <v>Unit Price (2016 $/lb)</v>
      </c>
      <c r="N20" s="65" t="s">
        <v>45</v>
      </c>
      <c r="O20" s="65" t="s">
        <v>46</v>
      </c>
      <c r="P20" s="64"/>
      <c r="Q20" s="64" t="str">
        <f>"Cost ("&amp;CurrencySymbol&amp;"/"&amp;OutMassUnit&amp;" catalyst)"</f>
        <v>Cost ($/lb catalyst)</v>
      </c>
      <c r="R20" s="64" t="str">
        <f>"Cost ("&amp;CurrencySymbol&amp;"/year)"</f>
        <v>Cost ($/year)</v>
      </c>
      <c r="S20" s="19"/>
    </row>
    <row r="21" spans="2:19">
      <c r="B21" s="16"/>
      <c r="C21" s="69"/>
      <c r="D21" s="71"/>
      <c r="E21" s="72"/>
      <c r="F21" s="72"/>
      <c r="G21" s="74"/>
      <c r="H21" s="73"/>
      <c r="I21" s="75" t="str">
        <f>IFERROR(IF(VLOOKUP(G21,UnitConv[],6,FALSE)="Yes",IF(ISBLANK(INDEX(RawMaterials[],MATCH($C21,RawMaterials[[Material Name]:[Material Name]],0),MATCH("Density (g/mL)",RawMaterials[#Headers],0))),"No Density",D21*VLOOKUP(G21,UnitConv[],7,FALSE)*INDEX(RawMaterials[],MATCH($C21,RawMaterials[[Material Name]:[Material Name]],0),MATCH("Density (g/mL)",RawMaterials[#Headers],0))/VLOOKUP(OutMassUnit,UnitConv[],5,FALSE)),D21*VLOOKUP(G21,UnitConv[],5,FALSE)/VLOOKUP(OutMassUnit,UnitConv[],5,FALSE)),"")</f>
        <v/>
      </c>
      <c r="J21" s="75"/>
      <c r="K21" s="75" t="str">
        <f>IF(I21="","",IFERROR(I21*VLOOKUP(OutMassUnit,UnitConv[],5,FALSE)/VLOOKUP("g",UnitConv[],5,FALSE)/INDEX(RawMaterials[],MATCH(C21,RawMaterials[[Material Name]:[Material Name]],0),MATCH("MW (g/mol)",RawMaterials[#Headers],0)),"n/a"))</f>
        <v/>
      </c>
      <c r="L21" s="76" t="str">
        <f>IFERROR(I21/$D$12,"")</f>
        <v/>
      </c>
      <c r="M21" s="77" t="str">
        <f>IFERROR(INDEX(RawMaterials[],MATCH($C21,RawMaterials[[Material Name]:[Material Name]],0),MATCH("Unit Price",RawMaterials[#Headers],0)),"")</f>
        <v/>
      </c>
      <c r="N21" s="89" t="str">
        <f>IFERROR(0.7*$M21,"")</f>
        <v/>
      </c>
      <c r="O21" s="90" t="str">
        <f>IFERROR(1.3*$M21,"")</f>
        <v/>
      </c>
      <c r="P21" s="78"/>
      <c r="Q21" s="79" t="str">
        <f>IFERROR(L21*M21*(100+$D$14)/100,"")</f>
        <v/>
      </c>
      <c r="R21" s="80" t="str">
        <f>IFERROR(Q21*ActualProduction,"")</f>
        <v/>
      </c>
      <c r="S21" s="19"/>
    </row>
    <row r="22" spans="2:19">
      <c r="B22" s="16"/>
      <c r="C22" s="69"/>
      <c r="D22" s="71"/>
      <c r="E22" s="72"/>
      <c r="F22" s="72"/>
      <c r="G22" s="74"/>
      <c r="H22" s="73"/>
      <c r="I22" s="75" t="str">
        <f>IFERROR(IF(VLOOKUP(G22,UnitConv[],6,FALSE)="Yes",IF(ISBLANK(INDEX(RawMaterials[],MATCH($C22,RawMaterials[[Material Name]:[Material Name]],0),MATCH("Density (g/mL)",RawMaterials[#Headers],0))),"No Density",D22*VLOOKUP(G22,UnitConv[],7,FALSE)*INDEX(RawMaterials[],MATCH($C22,RawMaterials[[Material Name]:[Material Name]],0),MATCH("Density (g/mL)",RawMaterials[#Headers],0))/VLOOKUP(OutMassUnit,UnitConv[],5,FALSE)),D22*VLOOKUP(G22,UnitConv[],5,FALSE)/VLOOKUP(OutMassUnit,UnitConv[],5,FALSE)),"")</f>
        <v/>
      </c>
      <c r="J22" s="75"/>
      <c r="K22" s="75" t="str">
        <f>IF(I22="","",IFERROR(I22*VLOOKUP(OutMassUnit,UnitConv[],5,FALSE)/VLOOKUP("g",UnitConv[],5,FALSE)/INDEX(RawMaterials[],MATCH(C22,RawMaterials[[Material Name]:[Material Name]],0),MATCH("MW (g/mol)",RawMaterials[#Headers],0)),"n/a"))</f>
        <v/>
      </c>
      <c r="L22" s="76" t="str">
        <f>IFERROR(I22/$D$12,"")</f>
        <v/>
      </c>
      <c r="M22" s="77" t="str">
        <f>IFERROR(INDEX(RawMaterials[],MATCH($C22,RawMaterials[[Material Name]:[Material Name]],0),MATCH("Unit Price",RawMaterials[#Headers],0)),"")</f>
        <v/>
      </c>
      <c r="N22" s="89" t="str">
        <f t="shared" ref="N22:N25" si="0">IFERROR(0.7*$M22,"")</f>
        <v/>
      </c>
      <c r="O22" s="90" t="str">
        <f t="shared" ref="O22:O25" si="1">IFERROR(1.3*$M22,"")</f>
        <v/>
      </c>
      <c r="P22" s="78"/>
      <c r="Q22" s="79" t="str">
        <f t="shared" ref="Q22:Q25" si="2">IFERROR(L22*M22*(100+$D$14)/100,"")</f>
        <v/>
      </c>
      <c r="R22" s="80" t="str">
        <f>IFERROR(Q22*ActualProduction,"")</f>
        <v/>
      </c>
      <c r="S22" s="19"/>
    </row>
    <row r="23" spans="2:19">
      <c r="B23" s="16"/>
      <c r="C23" s="69"/>
      <c r="D23" s="71"/>
      <c r="E23" s="72"/>
      <c r="F23" s="72"/>
      <c r="G23" s="74"/>
      <c r="H23" s="73"/>
      <c r="I23" s="75" t="str">
        <f>IFERROR(IF(VLOOKUP(G23,UnitConv[],6,FALSE)="Yes",IF(ISBLANK(INDEX(RawMaterials[],MATCH($C23,RawMaterials[[Material Name]:[Material Name]],0),MATCH("Density (g/mL)",RawMaterials[#Headers],0))),"No Density",D23*VLOOKUP(G23,UnitConv[],7,FALSE)*INDEX(RawMaterials[],MATCH($C23,RawMaterials[[Material Name]:[Material Name]],0),MATCH("Density (g/mL)",RawMaterials[#Headers],0))/VLOOKUP(OutMassUnit,UnitConv[],5,FALSE)),D23*VLOOKUP(G23,UnitConv[],5,FALSE)/VLOOKUP(OutMassUnit,UnitConv[],5,FALSE)),"")</f>
        <v/>
      </c>
      <c r="J23" s="75"/>
      <c r="K23" s="75" t="str">
        <f>IF(I23="","",IFERROR(I23*VLOOKUP(OutMassUnit,UnitConv[],5,FALSE)/VLOOKUP("g",UnitConv[],5,FALSE)/INDEX(RawMaterials[],MATCH(C23,RawMaterials[[Material Name]:[Material Name]],0),MATCH("MW (g/mol)",RawMaterials[#Headers],0)),"n/a"))</f>
        <v/>
      </c>
      <c r="L23" s="76" t="str">
        <f>IFERROR(I23/$D$12,"")</f>
        <v/>
      </c>
      <c r="M23" s="77" t="str">
        <f>IFERROR(INDEX(RawMaterials[],MATCH($C23,RawMaterials[[Material Name]:[Material Name]],0),MATCH("Unit Price",RawMaterials[#Headers],0)),"")</f>
        <v/>
      </c>
      <c r="N23" s="89" t="str">
        <f t="shared" si="0"/>
        <v/>
      </c>
      <c r="O23" s="90" t="str">
        <f t="shared" si="1"/>
        <v/>
      </c>
      <c r="P23" s="78"/>
      <c r="Q23" s="79" t="str">
        <f t="shared" si="2"/>
        <v/>
      </c>
      <c r="R23" s="80" t="str">
        <f>IFERROR(Q23*ActualProduction,"")</f>
        <v/>
      </c>
      <c r="S23" s="19"/>
    </row>
    <row r="24" spans="2:19">
      <c r="B24" s="16"/>
      <c r="C24" s="69"/>
      <c r="D24" s="71"/>
      <c r="E24" s="72"/>
      <c r="F24" s="72"/>
      <c r="G24" s="74"/>
      <c r="H24" s="73"/>
      <c r="I24" s="75" t="str">
        <f>IFERROR(IF(VLOOKUP(G24,UnitConv[],6,FALSE)="Yes",IF(ISBLANK(INDEX(RawMaterials[],MATCH($C24,RawMaterials[[Material Name]:[Material Name]],0),MATCH("Density (g/mL)",RawMaterials[#Headers],0))),"No Density",D24*VLOOKUP(G24,UnitConv[],7,FALSE)*INDEX(RawMaterials[],MATCH($C24,RawMaterials[[Material Name]:[Material Name]],0),MATCH("Density (g/mL)",RawMaterials[#Headers],0))/VLOOKUP(OutMassUnit,UnitConv[],5,FALSE)),D24*VLOOKUP(G24,UnitConv[],5,FALSE)/VLOOKUP(OutMassUnit,UnitConv[],5,FALSE)),"")</f>
        <v/>
      </c>
      <c r="J24" s="75"/>
      <c r="K24" s="75" t="str">
        <f>IF(I24="","",IFERROR(I24*VLOOKUP(OutMassUnit,UnitConv[],5,FALSE)/VLOOKUP("g",UnitConv[],5,FALSE)/INDEX(RawMaterials[],MATCH(C24,RawMaterials[[Material Name]:[Material Name]],0),MATCH("MW (g/mol)",RawMaterials[#Headers],0)),"n/a"))</f>
        <v/>
      </c>
      <c r="L24" s="76" t="str">
        <f>IFERROR(I24/$D$12,"")</f>
        <v/>
      </c>
      <c r="M24" s="77" t="str">
        <f>IFERROR(INDEX(RawMaterials[],MATCH($C24,RawMaterials[[Material Name]:[Material Name]],0),MATCH("Unit Price",RawMaterials[#Headers],0)),"")</f>
        <v/>
      </c>
      <c r="N24" s="89" t="str">
        <f t="shared" si="0"/>
        <v/>
      </c>
      <c r="O24" s="90" t="str">
        <f t="shared" si="1"/>
        <v/>
      </c>
      <c r="P24" s="78"/>
      <c r="Q24" s="79" t="str">
        <f t="shared" si="2"/>
        <v/>
      </c>
      <c r="R24" s="80" t="str">
        <f>IFERROR(Q24*ActualProduction,"")</f>
        <v/>
      </c>
      <c r="S24" s="19"/>
    </row>
    <row r="25" spans="2:19">
      <c r="B25" s="16"/>
      <c r="C25" s="69"/>
      <c r="D25" s="71"/>
      <c r="E25" s="72"/>
      <c r="F25" s="72"/>
      <c r="G25" s="74"/>
      <c r="H25" s="73"/>
      <c r="I25" s="75" t="str">
        <f>IFERROR(IF(VLOOKUP(G25,UnitConv[],6,FALSE)="Yes",IF(ISBLANK(INDEX(RawMaterials[],MATCH($C25,RawMaterials[[Material Name]:[Material Name]],0),MATCH("Density (g/mL)",RawMaterials[#Headers],0))),"No Density",D25*VLOOKUP(G25,UnitConv[],7,FALSE)*INDEX(RawMaterials[],MATCH($C25,RawMaterials[[Material Name]:[Material Name]],0),MATCH("Density (g/mL)",RawMaterials[#Headers],0))/VLOOKUP(OutMassUnit,UnitConv[],5,FALSE)),D25*VLOOKUP(G25,UnitConv[],5,FALSE)/VLOOKUP(OutMassUnit,UnitConv[],5,FALSE)),"")</f>
        <v/>
      </c>
      <c r="J25" s="75"/>
      <c r="K25" s="75" t="str">
        <f>IF(I25="","",IFERROR(I25*VLOOKUP(OutMassUnit,UnitConv[],5,FALSE)/VLOOKUP("g",UnitConv[],5,FALSE)/INDEX(RawMaterials[],MATCH(C25,RawMaterials[[Material Name]:[Material Name]],0),MATCH("MW (g/mol)",RawMaterials[#Headers],0)),"n/a"))</f>
        <v/>
      </c>
      <c r="L25" s="76" t="str">
        <f>IFERROR(I25/$D$12,"")</f>
        <v/>
      </c>
      <c r="M25" s="77" t="str">
        <f>IFERROR(INDEX(RawMaterials[],MATCH($C25,RawMaterials[[Material Name]:[Material Name]],0),MATCH("Unit Price",RawMaterials[#Headers],0)),"")</f>
        <v/>
      </c>
      <c r="N25" s="89" t="str">
        <f t="shared" si="0"/>
        <v/>
      </c>
      <c r="O25" s="90" t="str">
        <f t="shared" si="1"/>
        <v/>
      </c>
      <c r="P25" s="78"/>
      <c r="Q25" s="79" t="str">
        <f t="shared" si="2"/>
        <v/>
      </c>
      <c r="R25" s="80" t="str">
        <f>IFERROR(Q25*ActualProduction,"")</f>
        <v/>
      </c>
      <c r="S25" s="19"/>
    </row>
    <row r="26" spans="2:19" ht="17" thickBot="1">
      <c r="B26" s="21"/>
      <c r="C26" s="67"/>
      <c r="D26" s="67"/>
      <c r="E26" s="67"/>
      <c r="F26" s="67"/>
      <c r="G26" s="67"/>
      <c r="H26" s="67"/>
      <c r="I26" s="67"/>
      <c r="J26" s="67"/>
      <c r="K26" s="67"/>
      <c r="L26" s="67"/>
      <c r="M26" s="67"/>
      <c r="N26" s="67"/>
      <c r="O26" s="67"/>
      <c r="P26" s="67"/>
      <c r="Q26" s="67"/>
      <c r="R26" s="67"/>
      <c r="S26" s="23"/>
    </row>
    <row r="27" spans="2:19" ht="17" thickBot="1">
      <c r="C27" s="95"/>
      <c r="D27" s="95"/>
      <c r="E27" s="95"/>
      <c r="F27" s="95"/>
      <c r="G27" s="95"/>
      <c r="H27" s="95"/>
      <c r="I27" s="95"/>
      <c r="J27" s="95"/>
      <c r="K27" s="95"/>
      <c r="L27" s="95"/>
      <c r="M27" s="95"/>
      <c r="N27" s="95"/>
      <c r="O27" s="95"/>
      <c r="P27" s="95"/>
      <c r="Q27" s="95"/>
      <c r="R27" s="95"/>
    </row>
    <row r="28" spans="2:19" ht="21" thickBot="1">
      <c r="B28" s="417" t="s">
        <v>441</v>
      </c>
      <c r="C28" s="418"/>
      <c r="D28" s="419"/>
      <c r="E28" s="98"/>
      <c r="F28" s="95"/>
      <c r="G28" s="95"/>
      <c r="H28" s="95"/>
      <c r="I28" s="95"/>
      <c r="J28" s="95"/>
      <c r="K28" s="95"/>
      <c r="L28" s="95"/>
      <c r="M28" s="95"/>
      <c r="N28" s="95"/>
      <c r="O28" s="95"/>
      <c r="P28" s="95"/>
      <c r="Q28" s="95"/>
      <c r="R28" s="95"/>
    </row>
    <row r="29" spans="2:19" ht="15" customHeight="1">
      <c r="B29" s="68"/>
      <c r="C29" s="14"/>
      <c r="D29" s="14"/>
      <c r="E29" s="18"/>
      <c r="F29" s="14"/>
      <c r="G29" s="14"/>
      <c r="H29" s="14"/>
      <c r="I29" s="14"/>
      <c r="J29" s="14"/>
      <c r="K29" s="14"/>
      <c r="L29" s="14"/>
      <c r="M29" s="14"/>
      <c r="N29" s="14"/>
      <c r="O29" s="14"/>
      <c r="P29" s="14"/>
      <c r="Q29" s="14"/>
      <c r="R29" s="14"/>
      <c r="S29" s="15"/>
    </row>
    <row r="30" spans="2:19" ht="19">
      <c r="B30" s="16"/>
      <c r="C30" s="424" t="s">
        <v>21</v>
      </c>
      <c r="D30" s="424"/>
      <c r="E30" s="424"/>
      <c r="F30" s="424"/>
      <c r="G30" s="424"/>
      <c r="H30" s="87"/>
      <c r="I30" s="424" t="s">
        <v>23</v>
      </c>
      <c r="J30" s="424"/>
      <c r="K30" s="424"/>
      <c r="L30" s="424"/>
      <c r="M30" s="424"/>
      <c r="N30" s="424"/>
      <c r="O30" s="424"/>
      <c r="P30" s="88"/>
      <c r="Q30" s="424" t="s">
        <v>217</v>
      </c>
      <c r="R30" s="424"/>
      <c r="S30" s="19"/>
    </row>
    <row r="31" spans="2:19">
      <c r="B31" s="16"/>
      <c r="C31" s="64" t="s">
        <v>17</v>
      </c>
      <c r="D31" s="64" t="s">
        <v>22</v>
      </c>
      <c r="E31" s="65" t="s">
        <v>37</v>
      </c>
      <c r="F31" s="65" t="s">
        <v>38</v>
      </c>
      <c r="G31" s="64" t="s">
        <v>18</v>
      </c>
      <c r="H31" s="64"/>
      <c r="I31" s="64" t="str">
        <f>"Q in "&amp;OutMassUnit</f>
        <v>Q in lb</v>
      </c>
      <c r="J31" s="64"/>
      <c r="K31" s="64" t="s">
        <v>36</v>
      </c>
      <c r="L31" s="64" t="str">
        <f>"Q ("&amp;OutMassUnit&amp;"/"&amp;OutMassUnit&amp;" catalyst)"</f>
        <v>Q (lb/lb catalyst)</v>
      </c>
      <c r="M31" s="64" t="str">
        <f>"Unit Price ("&amp;BasisYear&amp;" "&amp;CurrencySymbol&amp;"/"&amp;OutMassUnit&amp;")"</f>
        <v>Unit Price (2016 $/lb)</v>
      </c>
      <c r="N31" s="65" t="s">
        <v>45</v>
      </c>
      <c r="O31" s="65" t="s">
        <v>46</v>
      </c>
      <c r="P31" s="64"/>
      <c r="Q31" s="64" t="str">
        <f>"Cost ("&amp;CurrencySymbol&amp;"/"&amp;OutMassUnit&amp;" catalyst)"</f>
        <v>Cost ($/lb catalyst)</v>
      </c>
      <c r="R31" s="64" t="str">
        <f>"Cost ("&amp;CurrencySymbol&amp;"/year)"</f>
        <v>Cost ($/year)</v>
      </c>
      <c r="S31" s="19"/>
    </row>
    <row r="32" spans="2:19">
      <c r="B32" s="16"/>
      <c r="C32" s="69"/>
      <c r="D32" s="71"/>
      <c r="E32" s="72"/>
      <c r="F32" s="72"/>
      <c r="G32" s="74"/>
      <c r="H32" s="73"/>
      <c r="I32" s="75" t="str">
        <f>IFERROR(IF(VLOOKUP(G32,UnitConv[],6,FALSE)="Yes",IF(ISBLANK(INDEX(RawMaterials[],MATCH($C32,RawMaterials[[Material Name]:[Material Name]],0),MATCH("Density (g/mL)",RawMaterials[#Headers],0))),"No Density",D32*VLOOKUP(G32,UnitConv[],7,FALSE)*INDEX(RawMaterials[],MATCH($C32,RawMaterials[[Material Name]:[Material Name]],0),MATCH("Density (g/mL)",RawMaterials[#Headers],0))/VLOOKUP(OutMassUnit,UnitConv[],5,FALSE)),D32*VLOOKUP(G32,UnitConv[],5,FALSE)/VLOOKUP(OutMassUnit,UnitConv[],5,FALSE)),"")</f>
        <v/>
      </c>
      <c r="J32" s="75"/>
      <c r="K32" s="75" t="str">
        <f>IF(I32="","",IFERROR(I32*VLOOKUP(OutMassUnit,UnitConv[],5,FALSE)/VLOOKUP("g",UnitConv[],5,FALSE)/INDEX(RawMaterials[],MATCH(C32,RawMaterials[[Material Name]:[Material Name]],0),MATCH("MW (g/mol)",RawMaterials[#Headers],0)),"n/a"))</f>
        <v/>
      </c>
      <c r="L32" s="76" t="str">
        <f>IFERROR(I32/$D$12,"")</f>
        <v/>
      </c>
      <c r="M32" s="77" t="str">
        <f>IFERROR(INDEX(RawMaterials[],MATCH($C32,RawMaterials[[Material Name]:[Material Name]],0),MATCH("Unit Price",RawMaterials[#Headers],0)),"")</f>
        <v/>
      </c>
      <c r="N32" s="89" t="str">
        <f>IFERROR(0.7*$M32,"")</f>
        <v/>
      </c>
      <c r="O32" s="90" t="str">
        <f>IFERROR(1.3*$M32,"")</f>
        <v/>
      </c>
      <c r="P32" s="78"/>
      <c r="Q32" s="79" t="str">
        <f>IFERROR(L32*M32*(100+$D$14)/100,"")</f>
        <v/>
      </c>
      <c r="R32" s="80" t="str">
        <f>IFERROR(Q32*ActualProduction,"")</f>
        <v/>
      </c>
      <c r="S32" s="19"/>
    </row>
    <row r="33" spans="2:20">
      <c r="B33" s="16"/>
      <c r="C33" s="69"/>
      <c r="D33" s="71"/>
      <c r="E33" s="72"/>
      <c r="F33" s="72"/>
      <c r="G33" s="74"/>
      <c r="H33" s="73"/>
      <c r="I33" s="75" t="str">
        <f>IFERROR(IF(VLOOKUP(G33,UnitConv[],6,FALSE)="Yes",IF(ISBLANK(INDEX(RawMaterials[],MATCH($C33,RawMaterials[[Material Name]:[Material Name]],0),MATCH("Density (g/mL)",RawMaterials[#Headers],0))),"No Density",D33*VLOOKUP(G33,UnitConv[],7,FALSE)*INDEX(RawMaterials[],MATCH($C33,RawMaterials[[Material Name]:[Material Name]],0),MATCH("Density (g/mL)",RawMaterials[#Headers],0))/VLOOKUP(OutMassUnit,UnitConv[],5,FALSE)),D33*VLOOKUP(G33,UnitConv[],5,FALSE)/VLOOKUP(OutMassUnit,UnitConv[],5,FALSE)),"")</f>
        <v/>
      </c>
      <c r="J33" s="75"/>
      <c r="K33" s="75" t="str">
        <f>IF(I33="","",IFERROR(I33*VLOOKUP(OutMassUnit,UnitConv[],5,FALSE)/VLOOKUP("g",UnitConv[],5,FALSE)/INDEX(RawMaterials[],MATCH(C33,RawMaterials[[Material Name]:[Material Name]],0),MATCH("MW (g/mol)",RawMaterials[#Headers],0)),"n/a"))</f>
        <v/>
      </c>
      <c r="L33" s="76" t="str">
        <f>IFERROR(I33/$D$12,"")</f>
        <v/>
      </c>
      <c r="M33" s="77" t="str">
        <f>IFERROR(INDEX(RawMaterials[],MATCH($C33,RawMaterials[[Material Name]:[Material Name]],0),MATCH("Unit Price",RawMaterials[#Headers],0)),"")</f>
        <v/>
      </c>
      <c r="N33" s="89" t="str">
        <f t="shared" ref="N33:N36" si="3">IFERROR(0.7*$M33,"")</f>
        <v/>
      </c>
      <c r="O33" s="90" t="str">
        <f t="shared" ref="O33:O36" si="4">IFERROR(1.3*$M33,"")</f>
        <v/>
      </c>
      <c r="P33" s="78"/>
      <c r="Q33" s="79" t="str">
        <f t="shared" ref="Q33:Q36" si="5">IFERROR(L33*M33*(100+$D$14)/100,"")</f>
        <v/>
      </c>
      <c r="R33" s="80" t="str">
        <f>IFERROR(Q33*ActualProduction,"")</f>
        <v/>
      </c>
      <c r="S33" s="19"/>
    </row>
    <row r="34" spans="2:20">
      <c r="B34" s="16"/>
      <c r="C34" s="69"/>
      <c r="D34" s="71"/>
      <c r="E34" s="72"/>
      <c r="F34" s="72"/>
      <c r="G34" s="74"/>
      <c r="H34" s="73"/>
      <c r="I34" s="75" t="str">
        <f>IFERROR(IF(VLOOKUP(G34,UnitConv[],6,FALSE)="Yes",IF(ISBLANK(INDEX(RawMaterials[],MATCH($C34,RawMaterials[[Material Name]:[Material Name]],0),MATCH("Density (g/mL)",RawMaterials[#Headers],0))),"No Density",D34*VLOOKUP(G34,UnitConv[],7,FALSE)*INDEX(RawMaterials[],MATCH($C34,RawMaterials[[Material Name]:[Material Name]],0),MATCH("Density (g/mL)",RawMaterials[#Headers],0))/VLOOKUP(OutMassUnit,UnitConv[],5,FALSE)),D34*VLOOKUP(G34,UnitConv[],5,FALSE)/VLOOKUP(OutMassUnit,UnitConv[],5,FALSE)),"")</f>
        <v/>
      </c>
      <c r="J34" s="75"/>
      <c r="K34" s="75" t="str">
        <f>IF(I34="","",IFERROR(I34*VLOOKUP(OutMassUnit,UnitConv[],5,FALSE)/VLOOKUP("g",UnitConv[],5,FALSE)/INDEX(RawMaterials[],MATCH(C34,RawMaterials[[Material Name]:[Material Name]],0),MATCH("MW (g/mol)",RawMaterials[#Headers],0)),"n/a"))</f>
        <v/>
      </c>
      <c r="L34" s="76" t="str">
        <f>IFERROR(I34/$D$12,"")</f>
        <v/>
      </c>
      <c r="M34" s="77" t="str">
        <f>IFERROR(INDEX(RawMaterials[],MATCH($C34,RawMaterials[[Material Name]:[Material Name]],0),MATCH("Unit Price",RawMaterials[#Headers],0)),"")</f>
        <v/>
      </c>
      <c r="N34" s="89" t="str">
        <f t="shared" si="3"/>
        <v/>
      </c>
      <c r="O34" s="90" t="str">
        <f t="shared" si="4"/>
        <v/>
      </c>
      <c r="P34" s="78"/>
      <c r="Q34" s="79" t="str">
        <f t="shared" si="5"/>
        <v/>
      </c>
      <c r="R34" s="80" t="str">
        <f>IFERROR(Q34*ActualProduction,"")</f>
        <v/>
      </c>
      <c r="S34" s="19"/>
    </row>
    <row r="35" spans="2:20">
      <c r="B35" s="16"/>
      <c r="C35" s="69"/>
      <c r="D35" s="71"/>
      <c r="E35" s="72"/>
      <c r="F35" s="72"/>
      <c r="G35" s="74"/>
      <c r="H35" s="73"/>
      <c r="I35" s="75" t="str">
        <f>IFERROR(IF(VLOOKUP(G35,UnitConv[],6,FALSE)="Yes",IF(ISBLANK(INDEX(RawMaterials[],MATCH($C35,RawMaterials[[Material Name]:[Material Name]],0),MATCH("Density (g/mL)",RawMaterials[#Headers],0))),"No Density",D35*VLOOKUP(G35,UnitConv[],7,FALSE)*INDEX(RawMaterials[],MATCH($C35,RawMaterials[[Material Name]:[Material Name]],0),MATCH("Density (g/mL)",RawMaterials[#Headers],0))/VLOOKUP(OutMassUnit,UnitConv[],5,FALSE)),D35*VLOOKUP(G35,UnitConv[],5,FALSE)/VLOOKUP(OutMassUnit,UnitConv[],5,FALSE)),"")</f>
        <v/>
      </c>
      <c r="J35" s="75"/>
      <c r="K35" s="75" t="str">
        <f>IF(I35="","",IFERROR(I35*VLOOKUP(OutMassUnit,UnitConv[],5,FALSE)/VLOOKUP("g",UnitConv[],5,FALSE)/INDEX(RawMaterials[],MATCH(C35,RawMaterials[[Material Name]:[Material Name]],0),MATCH("MW (g/mol)",RawMaterials[#Headers],0)),"n/a"))</f>
        <v/>
      </c>
      <c r="L35" s="76" t="str">
        <f>IFERROR(I35/$D$12,"")</f>
        <v/>
      </c>
      <c r="M35" s="77" t="str">
        <f>IFERROR(INDEX(RawMaterials[],MATCH($C35,RawMaterials[[Material Name]:[Material Name]],0),MATCH("Unit Price",RawMaterials[#Headers],0)),"")</f>
        <v/>
      </c>
      <c r="N35" s="89" t="str">
        <f t="shared" si="3"/>
        <v/>
      </c>
      <c r="O35" s="90" t="str">
        <f t="shared" si="4"/>
        <v/>
      </c>
      <c r="P35" s="78"/>
      <c r="Q35" s="79" t="str">
        <f t="shared" si="5"/>
        <v/>
      </c>
      <c r="R35" s="80" t="str">
        <f>IFERROR(Q35*ActualProduction,"")</f>
        <v/>
      </c>
      <c r="S35" s="19"/>
    </row>
    <row r="36" spans="2:20">
      <c r="B36" s="16"/>
      <c r="C36" s="69"/>
      <c r="D36" s="71"/>
      <c r="E36" s="72"/>
      <c r="F36" s="72"/>
      <c r="G36" s="74"/>
      <c r="H36" s="73"/>
      <c r="I36" s="75" t="str">
        <f>IFERROR(IF(VLOOKUP(G36,UnitConv[],6,FALSE)="Yes",IF(ISBLANK(INDEX(RawMaterials[],MATCH($C36,RawMaterials[[Material Name]:[Material Name]],0),MATCH("Density (g/mL)",RawMaterials[#Headers],0))),"No Density",D36*VLOOKUP(G36,UnitConv[],7,FALSE)*INDEX(RawMaterials[],MATCH($C36,RawMaterials[[Material Name]:[Material Name]],0),MATCH("Density (g/mL)",RawMaterials[#Headers],0))/VLOOKUP(OutMassUnit,UnitConv[],5,FALSE)),D36*VLOOKUP(G36,UnitConv[],5,FALSE)/VLOOKUP(OutMassUnit,UnitConv[],5,FALSE)),"")</f>
        <v/>
      </c>
      <c r="J36" s="75"/>
      <c r="K36" s="75" t="str">
        <f>IF(I36="","",IFERROR(I36*VLOOKUP(OutMassUnit,UnitConv[],5,FALSE)/VLOOKUP("g",UnitConv[],5,FALSE)/INDEX(RawMaterials[],MATCH(C36,RawMaterials[[Material Name]:[Material Name]],0),MATCH("MW (g/mol)",RawMaterials[#Headers],0)),"n/a"))</f>
        <v/>
      </c>
      <c r="L36" s="76" t="str">
        <f>IFERROR(I36/$D$12,"")</f>
        <v/>
      </c>
      <c r="M36" s="77" t="str">
        <f>IFERROR(INDEX(RawMaterials[],MATCH($C36,RawMaterials[[Material Name]:[Material Name]],0),MATCH("Unit Price",RawMaterials[#Headers],0)),"")</f>
        <v/>
      </c>
      <c r="N36" s="89" t="str">
        <f t="shared" si="3"/>
        <v/>
      </c>
      <c r="O36" s="90" t="str">
        <f t="shared" si="4"/>
        <v/>
      </c>
      <c r="P36" s="78"/>
      <c r="Q36" s="79" t="str">
        <f t="shared" si="5"/>
        <v/>
      </c>
      <c r="R36" s="80" t="str">
        <f>IFERROR(Q36*ActualProduction,"")</f>
        <v/>
      </c>
      <c r="S36" s="19"/>
    </row>
    <row r="37" spans="2:20" ht="17" thickBot="1">
      <c r="B37" s="21"/>
      <c r="C37" s="67"/>
      <c r="D37" s="67"/>
      <c r="E37" s="67"/>
      <c r="F37" s="67"/>
      <c r="G37" s="67"/>
      <c r="H37" s="67"/>
      <c r="I37" s="67"/>
      <c r="J37" s="67"/>
      <c r="K37" s="67"/>
      <c r="L37" s="67"/>
      <c r="M37" s="67"/>
      <c r="N37" s="67"/>
      <c r="O37" s="67"/>
      <c r="P37" s="67"/>
      <c r="Q37" s="67"/>
      <c r="R37" s="67"/>
      <c r="S37" s="23"/>
    </row>
    <row r="38" spans="2:20" ht="17" thickBot="1">
      <c r="C38" s="95"/>
      <c r="D38" s="95"/>
      <c r="E38" s="95"/>
      <c r="F38" s="95"/>
      <c r="G38" s="95"/>
      <c r="H38" s="95"/>
      <c r="I38" s="95"/>
      <c r="J38" s="95"/>
      <c r="K38" s="95"/>
      <c r="L38" s="95"/>
      <c r="M38" s="95"/>
      <c r="N38" s="95"/>
      <c r="O38" s="95"/>
      <c r="P38" s="95"/>
      <c r="Q38" s="95"/>
      <c r="R38" s="95"/>
    </row>
    <row r="39" spans="2:20" ht="21" thickBot="1">
      <c r="B39" s="417" t="s">
        <v>1842</v>
      </c>
      <c r="C39" s="418"/>
      <c r="D39" s="419"/>
      <c r="E39" s="98"/>
      <c r="F39" s="95"/>
      <c r="G39" s="95"/>
      <c r="H39" s="95"/>
      <c r="I39" s="95"/>
      <c r="J39" s="95"/>
      <c r="K39" s="95"/>
      <c r="L39" s="95"/>
      <c r="M39" s="95"/>
      <c r="N39" s="95"/>
      <c r="O39" s="95"/>
      <c r="P39" s="95"/>
      <c r="Q39" s="95"/>
      <c r="R39" s="95"/>
    </row>
    <row r="40" spans="2:20" ht="15" customHeight="1">
      <c r="B40" s="13"/>
      <c r="C40" s="81"/>
      <c r="D40" s="82"/>
      <c r="E40" s="73"/>
      <c r="F40" s="82"/>
      <c r="G40" s="82"/>
      <c r="H40" s="82"/>
      <c r="I40" s="82"/>
      <c r="J40" s="82"/>
      <c r="K40" s="82"/>
      <c r="L40" s="82"/>
      <c r="M40" s="82"/>
      <c r="N40" s="82"/>
      <c r="O40" s="82"/>
      <c r="P40" s="82"/>
      <c r="Q40" s="82"/>
      <c r="R40" s="82"/>
      <c r="S40" s="15"/>
    </row>
    <row r="41" spans="2:20" ht="19">
      <c r="B41" s="16"/>
      <c r="C41" s="424" t="s">
        <v>21</v>
      </c>
      <c r="D41" s="424"/>
      <c r="E41" s="424"/>
      <c r="F41" s="424"/>
      <c r="G41" s="424"/>
      <c r="H41" s="87"/>
      <c r="I41" s="424" t="s">
        <v>23</v>
      </c>
      <c r="J41" s="424"/>
      <c r="K41" s="424"/>
      <c r="L41" s="424"/>
      <c r="M41" s="424"/>
      <c r="N41" s="424"/>
      <c r="O41" s="424"/>
      <c r="P41" s="88"/>
      <c r="Q41" s="424" t="s">
        <v>217</v>
      </c>
      <c r="R41" s="424"/>
      <c r="S41" s="19"/>
    </row>
    <row r="42" spans="2:20">
      <c r="B42" s="16"/>
      <c r="C42" s="64" t="s">
        <v>17</v>
      </c>
      <c r="D42" s="64" t="s">
        <v>22</v>
      </c>
      <c r="E42" s="65" t="s">
        <v>37</v>
      </c>
      <c r="F42" s="65" t="s">
        <v>38</v>
      </c>
      <c r="G42" s="64" t="s">
        <v>18</v>
      </c>
      <c r="H42" s="64"/>
      <c r="I42" s="64" t="str">
        <f>"Q in "&amp;OutMassUnit</f>
        <v>Q in lb</v>
      </c>
      <c r="J42" s="64"/>
      <c r="K42" s="64" t="s">
        <v>36</v>
      </c>
      <c r="L42" s="64" t="str">
        <f>"Q ("&amp;OutMassUnit&amp;"/"&amp;OutMassUnit&amp;" catalyst)"</f>
        <v>Q (lb/lb catalyst)</v>
      </c>
      <c r="M42" s="64" t="str">
        <f>"Unit Price ("&amp;BasisYear&amp;" "&amp;CurrencySymbol&amp;"/"&amp;OutMassUnit&amp;")"</f>
        <v>Unit Price (2016 $/lb)</v>
      </c>
      <c r="N42" s="65" t="s">
        <v>45</v>
      </c>
      <c r="O42" s="65" t="s">
        <v>46</v>
      </c>
      <c r="P42" s="64"/>
      <c r="Q42" s="64" t="str">
        <f>"Cost ("&amp;CurrencySymbol&amp;"/"&amp;OutMassUnit&amp;" catalyst)"</f>
        <v>Cost ($/lb catalyst)</v>
      </c>
      <c r="R42" s="64" t="str">
        <f>"Cost ("&amp;CurrencySymbol&amp;"/year)"</f>
        <v>Cost ($/year)</v>
      </c>
      <c r="S42" s="19"/>
    </row>
    <row r="43" spans="2:20">
      <c r="B43" s="16"/>
      <c r="C43" s="69" t="s">
        <v>1844</v>
      </c>
      <c r="D43" s="83">
        <v>0.81899999999999995</v>
      </c>
      <c r="E43" s="84"/>
      <c r="F43" s="84"/>
      <c r="G43" s="74" t="s">
        <v>20</v>
      </c>
      <c r="H43" s="73"/>
      <c r="I43" s="75">
        <f>IFERROR(IF(VLOOKUP(G43,UnitConv[],6,FALSE)="Yes",IF(ISBLANK(INDEX(RawMaterials[],MATCH($C43,RawMaterials[[Material Name]:[Material Name]],0),MATCH("Density (g/mL)",RawMaterials[#Headers],0))),"No Density",D43*VLOOKUP(G43,UnitConv[],7,FALSE)*INDEX(RawMaterials[],MATCH($C43,RawMaterials[[Material Name]:[Material Name]],0),MATCH("Density (g/mL)",RawMaterials[#Headers],0))/VLOOKUP(OutMassUnit,UnitConv[],5,FALSE)),D43*VLOOKUP(G43,UnitConv[],5,FALSE)/VLOOKUP(OutMassUnit,UnitConv[],5,FALSE)),"")</f>
        <v>0.81899999999999995</v>
      </c>
      <c r="J43" s="75"/>
      <c r="K43" s="75" t="str">
        <f>IF(I43="","",IFERROR(I43*VLOOKUP(OutMassUnit,UnitConv[],5,FALSE)/VLOOKUP("g",UnitConv[],5,FALSE)/INDEX(RawMaterials[],MATCH(C43,RawMaterials[[Material Name]:[Material Name]],0),MATCH("MW (g/mol)",RawMaterials[#Headers],0)),"n/a"))</f>
        <v>n/a</v>
      </c>
      <c r="L43" s="75">
        <f t="shared" ref="L43:L55" si="6">IFERROR(I43/$D$12,"")</f>
        <v>0.81899999999999995</v>
      </c>
      <c r="M43" s="77">
        <f>IFERROR(INDEX(RawMaterials[],MATCH($C43,RawMaterials[[Material Name]:[Material Name]],0),MATCH("Unit Price",RawMaterials[#Headers],0)),"")</f>
        <v>0.25</v>
      </c>
      <c r="N43" s="89">
        <f>IFERROR(0.7*$M43,"")</f>
        <v>0.17499999999999999</v>
      </c>
      <c r="O43" s="90">
        <f>IFERROR(1.3*$M43,"")</f>
        <v>0.32500000000000001</v>
      </c>
      <c r="P43" s="66"/>
      <c r="Q43" s="85">
        <f t="shared" ref="Q43:Q55" si="7">IFERROR(L43*M43*(100+$D$14)/100,"")</f>
        <v>0.21089250000000001</v>
      </c>
      <c r="R43" s="86">
        <f t="shared" ref="R43:R55" si="8">IFERROR(Q43*ActualProduction,"")</f>
        <v>21089250</v>
      </c>
      <c r="S43" s="19"/>
      <c r="T43" s="96"/>
    </row>
    <row r="44" spans="2:20">
      <c r="B44" s="16"/>
      <c r="C44" s="69" t="s">
        <v>1845</v>
      </c>
      <c r="D44" s="83">
        <v>0.14000000000000001</v>
      </c>
      <c r="E44" s="84"/>
      <c r="F44" s="84"/>
      <c r="G44" s="74" t="s">
        <v>20</v>
      </c>
      <c r="H44" s="73"/>
      <c r="I44" s="75">
        <f>IFERROR(IF(VLOOKUP(G44,UnitConv[],6,FALSE)="Yes",IF(ISBLANK(INDEX(RawMaterials[],MATCH($C44,RawMaterials[[Material Name]:[Material Name]],0),MATCH("Density (g/mL)",RawMaterials[#Headers],0))),"No Density",D44*VLOOKUP(G44,UnitConv[],7,FALSE)*INDEX(RawMaterials[],MATCH($C44,RawMaterials[[Material Name]:[Material Name]],0),MATCH("Density (g/mL)",RawMaterials[#Headers],0))/VLOOKUP(OutMassUnit,UnitConv[],5,FALSE)),D44*VLOOKUP(G44,UnitConv[],5,FALSE)/VLOOKUP(OutMassUnit,UnitConv[],5,FALSE)),"")</f>
        <v>0.14000000000000001</v>
      </c>
      <c r="J44" s="75"/>
      <c r="K44" s="75" t="str">
        <f>IF(I44="","",IFERROR(I44*VLOOKUP(OutMassUnit,UnitConv[],5,FALSE)/VLOOKUP("g",UnitConv[],5,FALSE)/INDEX(RawMaterials[],MATCH(C44,RawMaterials[[Material Name]:[Material Name]],0),MATCH("MW (g/mol)",RawMaterials[#Headers],0)),"n/a"))</f>
        <v>n/a</v>
      </c>
      <c r="L44" s="75">
        <f t="shared" si="6"/>
        <v>0.14000000000000001</v>
      </c>
      <c r="M44" s="77">
        <f>IFERROR(INDEX(RawMaterials[],MATCH($C44,RawMaterials[[Material Name]:[Material Name]],0),MATCH("Unit Price",RawMaterials[#Headers],0)),"")</f>
        <v>0.3</v>
      </c>
      <c r="N44" s="89">
        <f t="shared" ref="N44:N55" si="9">IFERROR(0.7*$M44,"")</f>
        <v>0.21</v>
      </c>
      <c r="O44" s="90">
        <f t="shared" ref="O44:O55" si="10">IFERROR(1.3*$M44,"")</f>
        <v>0.39</v>
      </c>
      <c r="P44" s="66"/>
      <c r="Q44" s="85">
        <f t="shared" si="7"/>
        <v>4.3260000000000007E-2</v>
      </c>
      <c r="R44" s="86">
        <f t="shared" si="8"/>
        <v>4326000.0000000009</v>
      </c>
      <c r="S44" s="19"/>
      <c r="T44" s="96"/>
    </row>
    <row r="45" spans="2:20">
      <c r="B45" s="16"/>
      <c r="C45" s="69" t="s">
        <v>1846</v>
      </c>
      <c r="D45" s="83">
        <v>7.3999999999999996E-2</v>
      </c>
      <c r="E45" s="84"/>
      <c r="F45" s="84"/>
      <c r="G45" s="74" t="s">
        <v>20</v>
      </c>
      <c r="H45" s="73"/>
      <c r="I45" s="75">
        <f>IFERROR(IF(VLOOKUP(G45,UnitConv[],6,FALSE)="Yes",IF(ISBLANK(INDEX(RawMaterials[],MATCH($C45,RawMaterials[[Material Name]:[Material Name]],0),MATCH("Density (g/mL)",RawMaterials[#Headers],0))),"No Density",D45*VLOOKUP(G45,UnitConv[],7,FALSE)*INDEX(RawMaterials[],MATCH($C45,RawMaterials[[Material Name]:[Material Name]],0),MATCH("Density (g/mL)",RawMaterials[#Headers],0))/VLOOKUP(OutMassUnit,UnitConv[],5,FALSE)),D45*VLOOKUP(G45,UnitConv[],5,FALSE)/VLOOKUP(OutMassUnit,UnitConv[],5,FALSE)),"")</f>
        <v>7.3999999999999996E-2</v>
      </c>
      <c r="J45" s="75"/>
      <c r="K45" s="75" t="str">
        <f>IF(I45="","",IFERROR(I45*VLOOKUP(OutMassUnit,UnitConv[],5,FALSE)/VLOOKUP("g",UnitConv[],5,FALSE)/INDEX(RawMaterials[],MATCH(C45,RawMaterials[[Material Name]:[Material Name]],0),MATCH("MW (g/mol)",RawMaterials[#Headers],0)),"n/a"))</f>
        <v>n/a</v>
      </c>
      <c r="L45" s="75">
        <f t="shared" si="6"/>
        <v>7.3999999999999996E-2</v>
      </c>
      <c r="M45" s="77">
        <f>IFERROR(INDEX(RawMaterials[],MATCH($C45,RawMaterials[[Material Name]:[Material Name]],0),MATCH("Unit Price",RawMaterials[#Headers],0)),"")</f>
        <v>0.2</v>
      </c>
      <c r="N45" s="89">
        <f t="shared" si="9"/>
        <v>0.13999999999999999</v>
      </c>
      <c r="O45" s="90">
        <f t="shared" si="10"/>
        <v>0.26</v>
      </c>
      <c r="P45" s="66"/>
      <c r="Q45" s="85">
        <f t="shared" si="7"/>
        <v>1.5244000000000001E-2</v>
      </c>
      <c r="R45" s="86">
        <f t="shared" si="8"/>
        <v>1524400</v>
      </c>
      <c r="S45" s="19"/>
      <c r="T45" s="96"/>
    </row>
    <row r="46" spans="2:20">
      <c r="B46" s="16"/>
      <c r="C46" s="69" t="s">
        <v>1847</v>
      </c>
      <c r="D46" s="83">
        <v>0.22</v>
      </c>
      <c r="E46" s="84"/>
      <c r="F46" s="84"/>
      <c r="G46" s="74" t="s">
        <v>20</v>
      </c>
      <c r="H46" s="73"/>
      <c r="I46" s="75">
        <f>IFERROR(IF(VLOOKUP(G46,UnitConv[],6,FALSE)="Yes",IF(ISBLANK(INDEX(RawMaterials[],MATCH($C46,RawMaterials[[Material Name]:[Material Name]],0),MATCH("Density (g/mL)",RawMaterials[#Headers],0))),"No Density",D46*VLOOKUP(G46,UnitConv[],7,FALSE)*INDEX(RawMaterials[],MATCH($C46,RawMaterials[[Material Name]:[Material Name]],0),MATCH("Density (g/mL)",RawMaterials[#Headers],0))/VLOOKUP(OutMassUnit,UnitConv[],5,FALSE)),D46*VLOOKUP(G46,UnitConv[],5,FALSE)/VLOOKUP(OutMassUnit,UnitConv[],5,FALSE)),"")</f>
        <v>0.22</v>
      </c>
      <c r="J46" s="75"/>
      <c r="K46" s="75" t="str">
        <f>IF(I46="","",IFERROR(I46*VLOOKUP(OutMassUnit,UnitConv[],5,FALSE)/VLOOKUP("g",UnitConv[],5,FALSE)/INDEX(RawMaterials[],MATCH(C46,RawMaterials[[Material Name]:[Material Name]],0),MATCH("MW (g/mol)",RawMaterials[#Headers],0)),"n/a"))</f>
        <v>n/a</v>
      </c>
      <c r="L46" s="75">
        <f t="shared" si="6"/>
        <v>0.22</v>
      </c>
      <c r="M46" s="77">
        <f>IFERROR(INDEX(RawMaterials[],MATCH($C46,RawMaterials[[Material Name]:[Material Name]],0),MATCH("Unit Price",RawMaterials[#Headers],0)),"")</f>
        <v>0.05</v>
      </c>
      <c r="N46" s="89">
        <f t="shared" si="9"/>
        <v>3.4999999999999996E-2</v>
      </c>
      <c r="O46" s="90">
        <f t="shared" si="10"/>
        <v>6.5000000000000002E-2</v>
      </c>
      <c r="P46" s="66"/>
      <c r="Q46" s="85">
        <f t="shared" si="7"/>
        <v>1.133E-2</v>
      </c>
      <c r="R46" s="86">
        <f t="shared" si="8"/>
        <v>1133000</v>
      </c>
      <c r="S46" s="19"/>
      <c r="T46" s="96"/>
    </row>
    <row r="47" spans="2:20">
      <c r="B47" s="16"/>
      <c r="C47" s="69" t="s">
        <v>388</v>
      </c>
      <c r="D47" s="83">
        <v>0.376</v>
      </c>
      <c r="E47" s="84"/>
      <c r="F47" s="84"/>
      <c r="G47" s="74" t="s">
        <v>20</v>
      </c>
      <c r="H47" s="73"/>
      <c r="I47" s="75">
        <f>IFERROR(IF(VLOOKUP(G47,UnitConv[],6,FALSE)="Yes",IF(ISBLANK(INDEX(RawMaterials[],MATCH($C47,RawMaterials[[Material Name]:[Material Name]],0),MATCH("Density (g/mL)",RawMaterials[#Headers],0))),"No Density",D47*VLOOKUP(G47,UnitConv[],7,FALSE)*INDEX(RawMaterials[],MATCH($C47,RawMaterials[[Material Name]:[Material Name]],0),MATCH("Density (g/mL)",RawMaterials[#Headers],0))/VLOOKUP(OutMassUnit,UnitConv[],5,FALSE)),D47*VLOOKUP(G47,UnitConv[],5,FALSE)/VLOOKUP(OutMassUnit,UnitConv[],5,FALSE)),"")</f>
        <v>0.376</v>
      </c>
      <c r="J47" s="75"/>
      <c r="K47" s="75" t="str">
        <f>IF(I47="","",IFERROR(I47*VLOOKUP(OutMassUnit,UnitConv[],5,FALSE)/VLOOKUP("g",UnitConv[],5,FALSE)/INDEX(RawMaterials[],MATCH(C47,RawMaterials[[Material Name]:[Material Name]],0),MATCH("MW (g/mol)",RawMaterials[#Headers],0)),"n/a"))</f>
        <v>n/a</v>
      </c>
      <c r="L47" s="75">
        <f t="shared" si="6"/>
        <v>0.376</v>
      </c>
      <c r="M47" s="77">
        <f>IFERROR(INDEX(RawMaterials[],MATCH($C47,RawMaterials[[Material Name]:[Material Name]],0),MATCH("Unit Price",RawMaterials[#Headers],0)),"")</f>
        <v>0.05</v>
      </c>
      <c r="N47" s="89">
        <f t="shared" si="9"/>
        <v>3.4999999999999996E-2</v>
      </c>
      <c r="O47" s="90">
        <f t="shared" si="10"/>
        <v>6.5000000000000002E-2</v>
      </c>
      <c r="P47" s="66"/>
      <c r="Q47" s="85">
        <f t="shared" si="7"/>
        <v>1.9364000000000003E-2</v>
      </c>
      <c r="R47" s="86">
        <f t="shared" si="8"/>
        <v>1936400.0000000002</v>
      </c>
      <c r="S47" s="19"/>
      <c r="T47" s="96"/>
    </row>
    <row r="48" spans="2:20">
      <c r="B48" s="16"/>
      <c r="C48" s="69" t="s">
        <v>1848</v>
      </c>
      <c r="D48" s="83">
        <v>3.5000000000000003E-2</v>
      </c>
      <c r="E48" s="84"/>
      <c r="F48" s="84"/>
      <c r="G48" s="74" t="s">
        <v>20</v>
      </c>
      <c r="H48" s="73"/>
      <c r="I48" s="75">
        <f>IFERROR(IF(VLOOKUP(G48,UnitConv[],6,FALSE)="Yes",IF(ISBLANK(INDEX(RawMaterials[],MATCH($C48,RawMaterials[[Material Name]:[Material Name]],0),MATCH("Density (g/mL)",RawMaterials[#Headers],0))),"No Density",D48*VLOOKUP(G48,UnitConv[],7,FALSE)*INDEX(RawMaterials[],MATCH($C48,RawMaterials[[Material Name]:[Material Name]],0),MATCH("Density (g/mL)",RawMaterials[#Headers],0))/VLOOKUP(OutMassUnit,UnitConv[],5,FALSE)),D48*VLOOKUP(G48,UnitConv[],5,FALSE)/VLOOKUP(OutMassUnit,UnitConv[],5,FALSE)),"")</f>
        <v>3.5000000000000003E-2</v>
      </c>
      <c r="J48" s="75"/>
      <c r="K48" s="75" t="str">
        <f>IF(I48="","",IFERROR(I48*VLOOKUP(OutMassUnit,UnitConv[],5,FALSE)/VLOOKUP("g",UnitConv[],5,FALSE)/INDEX(RawMaterials[],MATCH(C48,RawMaterials[[Material Name]:[Material Name]],0),MATCH("MW (g/mol)",RawMaterials[#Headers],0)),"n/a"))</f>
        <v>n/a</v>
      </c>
      <c r="L48" s="75">
        <f t="shared" si="6"/>
        <v>3.5000000000000003E-2</v>
      </c>
      <c r="M48" s="77">
        <f>IFERROR(INDEX(RawMaterials[],MATCH($C48,RawMaterials[[Material Name]:[Material Name]],0),MATCH("Unit Price",RawMaterials[#Headers],0)),"")</f>
        <v>1.5</v>
      </c>
      <c r="N48" s="89">
        <f t="shared" si="9"/>
        <v>1.0499999999999998</v>
      </c>
      <c r="O48" s="90">
        <f t="shared" si="10"/>
        <v>1.9500000000000002</v>
      </c>
      <c r="P48" s="66"/>
      <c r="Q48" s="85">
        <f t="shared" si="7"/>
        <v>5.4075000000000005E-2</v>
      </c>
      <c r="R48" s="86">
        <f t="shared" si="8"/>
        <v>5407500.0000000009</v>
      </c>
      <c r="S48" s="19"/>
      <c r="T48" s="96"/>
    </row>
    <row r="49" spans="2:20">
      <c r="B49" s="16"/>
      <c r="C49" s="69" t="s">
        <v>1849</v>
      </c>
      <c r="D49" s="83">
        <v>3.5999999999999997E-2</v>
      </c>
      <c r="E49" s="84"/>
      <c r="F49" s="84"/>
      <c r="G49" s="74" t="s">
        <v>20</v>
      </c>
      <c r="H49" s="73"/>
      <c r="I49" s="75">
        <f>IFERROR(IF(VLOOKUP(G49,UnitConv[],6,FALSE)="Yes",IF(ISBLANK(INDEX(RawMaterials[],MATCH($C49,RawMaterials[[Material Name]:[Material Name]],0),MATCH("Density (g/mL)",RawMaterials[#Headers],0))),"No Density",D49*VLOOKUP(G49,UnitConv[],7,FALSE)*INDEX(RawMaterials[],MATCH($C49,RawMaterials[[Material Name]:[Material Name]],0),MATCH("Density (g/mL)",RawMaterials[#Headers],0))/VLOOKUP(OutMassUnit,UnitConv[],5,FALSE)),D49*VLOOKUP(G49,UnitConv[],5,FALSE)/VLOOKUP(OutMassUnit,UnitConv[],5,FALSE)),"")</f>
        <v>3.5999999999999997E-2</v>
      </c>
      <c r="J49" s="75"/>
      <c r="K49" s="75" t="str">
        <f>IF(I49="","",IFERROR(I49*VLOOKUP(OutMassUnit,UnitConv[],5,FALSE)/VLOOKUP("g",UnitConv[],5,FALSE)/INDEX(RawMaterials[],MATCH(C49,RawMaterials[[Material Name]:[Material Name]],0),MATCH("MW (g/mol)",RawMaterials[#Headers],0)),"n/a"))</f>
        <v>n/a</v>
      </c>
      <c r="L49" s="75">
        <f t="shared" si="6"/>
        <v>3.5999999999999997E-2</v>
      </c>
      <c r="M49" s="77">
        <f>IFERROR(INDEX(RawMaterials[],MATCH($C49,RawMaterials[[Material Name]:[Material Name]],0),MATCH("Unit Price",RawMaterials[#Headers],0)),"")</f>
        <v>7.0000000000000007E-2</v>
      </c>
      <c r="N49" s="89">
        <f t="shared" si="9"/>
        <v>4.9000000000000002E-2</v>
      </c>
      <c r="O49" s="90">
        <f t="shared" si="10"/>
        <v>9.1000000000000011E-2</v>
      </c>
      <c r="P49" s="66"/>
      <c r="Q49" s="85">
        <f t="shared" si="7"/>
        <v>2.5956E-3</v>
      </c>
      <c r="R49" s="86">
        <f t="shared" si="8"/>
        <v>259560</v>
      </c>
      <c r="S49" s="19"/>
      <c r="T49" s="96"/>
    </row>
    <row r="50" spans="2:20">
      <c r="B50" s="16"/>
      <c r="C50" s="69" t="s">
        <v>1850</v>
      </c>
      <c r="D50" s="83">
        <v>0.06</v>
      </c>
      <c r="E50" s="84"/>
      <c r="F50" s="84"/>
      <c r="G50" s="74" t="s">
        <v>20</v>
      </c>
      <c r="H50" s="73"/>
      <c r="I50" s="75">
        <f>IFERROR(IF(VLOOKUP(G50,UnitConv[],6,FALSE)="Yes",IF(ISBLANK(INDEX(RawMaterials[],MATCH($C50,RawMaterials[[Material Name]:[Material Name]],0),MATCH("Density (g/mL)",RawMaterials[#Headers],0))),"No Density",D50*VLOOKUP(G50,UnitConv[],7,FALSE)*INDEX(RawMaterials[],MATCH($C50,RawMaterials[[Material Name]:[Material Name]],0),MATCH("Density (g/mL)",RawMaterials[#Headers],0))/VLOOKUP(OutMassUnit,UnitConv[],5,FALSE)),D50*VLOOKUP(G50,UnitConv[],5,FALSE)/VLOOKUP(OutMassUnit,UnitConv[],5,FALSE)),"")</f>
        <v>0.06</v>
      </c>
      <c r="J50" s="75"/>
      <c r="K50" s="75" t="str">
        <f>IF(I50="","",IFERROR(I50*VLOOKUP(OutMassUnit,UnitConv[],5,FALSE)/VLOOKUP("g",UnitConv[],5,FALSE)/INDEX(RawMaterials[],MATCH(C50,RawMaterials[[Material Name]:[Material Name]],0),MATCH("MW (g/mol)",RawMaterials[#Headers],0)),"n/a"))</f>
        <v>n/a</v>
      </c>
      <c r="L50" s="75">
        <f t="shared" si="6"/>
        <v>0.06</v>
      </c>
      <c r="M50" s="77">
        <f>IFERROR(INDEX(RawMaterials[],MATCH($C50,RawMaterials[[Material Name]:[Material Name]],0),MATCH("Unit Price",RawMaterials[#Headers],0)),"")</f>
        <v>0.1</v>
      </c>
      <c r="N50" s="89">
        <f t="shared" si="9"/>
        <v>6.9999999999999993E-2</v>
      </c>
      <c r="O50" s="90">
        <f t="shared" si="10"/>
        <v>0.13</v>
      </c>
      <c r="P50" s="66"/>
      <c r="Q50" s="85">
        <f t="shared" si="7"/>
        <v>6.1799999999999997E-3</v>
      </c>
      <c r="R50" s="86">
        <f t="shared" si="8"/>
        <v>618000</v>
      </c>
      <c r="S50" s="19"/>
      <c r="T50" s="97"/>
    </row>
    <row r="51" spans="2:20">
      <c r="B51" s="16"/>
      <c r="C51" s="69"/>
      <c r="D51" s="83"/>
      <c r="E51" s="84"/>
      <c r="F51" s="84"/>
      <c r="G51" s="74"/>
      <c r="H51" s="73"/>
      <c r="I51" s="75" t="str">
        <f>IFERROR(IF(VLOOKUP(G51,UnitConv[],6,FALSE)="Yes",IF(ISBLANK(INDEX(RawMaterials[],MATCH($C51,RawMaterials[[Material Name]:[Material Name]],0),MATCH("Density (g/mL)",RawMaterials[#Headers],0))),"No Density",D51*VLOOKUP(G51,UnitConv[],7,FALSE)*INDEX(RawMaterials[],MATCH($C51,RawMaterials[[Material Name]:[Material Name]],0),MATCH("Density (g/mL)",RawMaterials[#Headers],0))/VLOOKUP(OutMassUnit,UnitConv[],5,FALSE)),D51*VLOOKUP(G51,UnitConv[],5,FALSE)/VLOOKUP(OutMassUnit,UnitConv[],5,FALSE)),"")</f>
        <v/>
      </c>
      <c r="J51" s="75"/>
      <c r="K51" s="75" t="str">
        <f>IF(I51="","",IFERROR(I51*VLOOKUP(OutMassUnit,UnitConv[],5,FALSE)/VLOOKUP("g",UnitConv[],5,FALSE)/INDEX(RawMaterials[],MATCH(C51,RawMaterials[[Material Name]:[Material Name]],0),MATCH("MW (g/mol)",RawMaterials[#Headers],0)),"n/a"))</f>
        <v/>
      </c>
      <c r="L51" s="75" t="str">
        <f t="shared" si="6"/>
        <v/>
      </c>
      <c r="M51" s="77" t="str">
        <f>IFERROR(INDEX(RawMaterials[],MATCH($C51,RawMaterials[[Material Name]:[Material Name]],0),MATCH("Unit Price",RawMaterials[#Headers],0)),"")</f>
        <v/>
      </c>
      <c r="N51" s="89" t="str">
        <f t="shared" si="9"/>
        <v/>
      </c>
      <c r="O51" s="90" t="str">
        <f t="shared" si="10"/>
        <v/>
      </c>
      <c r="P51" s="66"/>
      <c r="Q51" s="85" t="str">
        <f t="shared" si="7"/>
        <v/>
      </c>
      <c r="R51" s="86" t="str">
        <f t="shared" si="8"/>
        <v/>
      </c>
      <c r="S51" s="19"/>
      <c r="T51" s="96"/>
    </row>
    <row r="52" spans="2:20">
      <c r="B52" s="16"/>
      <c r="C52" s="69"/>
      <c r="D52" s="83"/>
      <c r="E52" s="84"/>
      <c r="F52" s="84"/>
      <c r="G52" s="74"/>
      <c r="H52" s="73"/>
      <c r="I52" s="75" t="str">
        <f>IFERROR(IF(VLOOKUP(G52,UnitConv[],6,FALSE)="Yes",IF(ISBLANK(INDEX(RawMaterials[],MATCH($C52,RawMaterials[[Material Name]:[Material Name]],0),MATCH("Density (g/mL)",RawMaterials[#Headers],0))),"No Density",D52*VLOOKUP(G52,UnitConv[],7,FALSE)*INDEX(RawMaterials[],MATCH($C52,RawMaterials[[Material Name]:[Material Name]],0),MATCH("Density (g/mL)",RawMaterials[#Headers],0))/VLOOKUP(OutMassUnit,UnitConv[],5,FALSE)),D52*VLOOKUP(G52,UnitConv[],5,FALSE)/VLOOKUP(OutMassUnit,UnitConv[],5,FALSE)),"")</f>
        <v/>
      </c>
      <c r="J52" s="75"/>
      <c r="K52" s="75" t="str">
        <f>IF(I52="","",IFERROR(I52*VLOOKUP(OutMassUnit,UnitConv[],5,FALSE)/VLOOKUP("g",UnitConv[],5,FALSE)/INDEX(RawMaterials[],MATCH(C52,RawMaterials[[Material Name]:[Material Name]],0),MATCH("MW (g/mol)",RawMaterials[#Headers],0)),"n/a"))</f>
        <v/>
      </c>
      <c r="L52" s="75" t="str">
        <f t="shared" si="6"/>
        <v/>
      </c>
      <c r="M52" s="77" t="str">
        <f>IFERROR(INDEX(RawMaterials[],MATCH($C52,RawMaterials[[Material Name]:[Material Name]],0),MATCH("Unit Price",RawMaterials[#Headers],0)),"")</f>
        <v/>
      </c>
      <c r="N52" s="89" t="str">
        <f t="shared" si="9"/>
        <v/>
      </c>
      <c r="O52" s="90" t="str">
        <f t="shared" si="10"/>
        <v/>
      </c>
      <c r="P52" s="66"/>
      <c r="Q52" s="85" t="str">
        <f t="shared" si="7"/>
        <v/>
      </c>
      <c r="R52" s="86" t="str">
        <f t="shared" si="8"/>
        <v/>
      </c>
      <c r="S52" s="19"/>
      <c r="T52" s="96"/>
    </row>
    <row r="53" spans="2:20">
      <c r="B53" s="16"/>
      <c r="C53" s="69"/>
      <c r="D53" s="83"/>
      <c r="E53" s="84"/>
      <c r="F53" s="84"/>
      <c r="G53" s="74"/>
      <c r="H53" s="73"/>
      <c r="I53" s="75" t="str">
        <f>IFERROR(IF(VLOOKUP(G53,UnitConv[],6,FALSE)="Yes",IF(ISBLANK(INDEX(RawMaterials[],MATCH($C53,RawMaterials[[Material Name]:[Material Name]],0),MATCH("Density (g/mL)",RawMaterials[#Headers],0))),"No Density",D53*VLOOKUP(G53,UnitConv[],7,FALSE)*INDEX(RawMaterials[],MATCH($C53,RawMaterials[[Material Name]:[Material Name]],0),MATCH("Density (g/mL)",RawMaterials[#Headers],0))/VLOOKUP(OutMassUnit,UnitConv[],5,FALSE)),D53*VLOOKUP(G53,UnitConv[],5,FALSE)/VLOOKUP(OutMassUnit,UnitConv[],5,FALSE)),"")</f>
        <v/>
      </c>
      <c r="J53" s="75"/>
      <c r="K53" s="75" t="str">
        <f>IF(I53="","",IFERROR(I53*VLOOKUP(OutMassUnit,UnitConv[],5,FALSE)/VLOOKUP("g",UnitConv[],5,FALSE)/INDEX(RawMaterials[],MATCH(C53,RawMaterials[[Material Name]:[Material Name]],0),MATCH("MW (g/mol)",RawMaterials[#Headers],0)),"n/a"))</f>
        <v/>
      </c>
      <c r="L53" s="75" t="str">
        <f t="shared" si="6"/>
        <v/>
      </c>
      <c r="M53" s="77" t="str">
        <f>IFERROR(INDEX(RawMaterials[],MATCH($C53,RawMaterials[[Material Name]:[Material Name]],0),MATCH("Unit Price",RawMaterials[#Headers],0)),"")</f>
        <v/>
      </c>
      <c r="N53" s="89" t="str">
        <f t="shared" si="9"/>
        <v/>
      </c>
      <c r="O53" s="90" t="str">
        <f t="shared" si="10"/>
        <v/>
      </c>
      <c r="P53" s="66"/>
      <c r="Q53" s="85" t="str">
        <f t="shared" si="7"/>
        <v/>
      </c>
      <c r="R53" s="86" t="str">
        <f t="shared" si="8"/>
        <v/>
      </c>
      <c r="S53" s="19"/>
      <c r="T53" s="96"/>
    </row>
    <row r="54" spans="2:20">
      <c r="B54" s="16"/>
      <c r="C54" s="69"/>
      <c r="D54" s="83"/>
      <c r="E54" s="84"/>
      <c r="F54" s="84"/>
      <c r="G54" s="74"/>
      <c r="H54" s="73"/>
      <c r="I54" s="75" t="str">
        <f>IFERROR(IF(VLOOKUP(G54,UnitConv[],6,FALSE)="Yes",IF(ISBLANK(INDEX(RawMaterials[],MATCH($C54,RawMaterials[[Material Name]:[Material Name]],0),MATCH("Density (g/mL)",RawMaterials[#Headers],0))),"No Density",D54*VLOOKUP(G54,UnitConv[],7,FALSE)*INDEX(RawMaterials[],MATCH($C54,RawMaterials[[Material Name]:[Material Name]],0),MATCH("Density (g/mL)",RawMaterials[#Headers],0))/VLOOKUP(OutMassUnit,UnitConv[],5,FALSE)),D54*VLOOKUP(G54,UnitConv[],5,FALSE)/VLOOKUP(OutMassUnit,UnitConv[],5,FALSE)),"")</f>
        <v/>
      </c>
      <c r="J54" s="75"/>
      <c r="K54" s="75" t="str">
        <f>IF(I54="","",IFERROR(I54*VLOOKUP(OutMassUnit,UnitConv[],5,FALSE)/VLOOKUP("g",UnitConv[],5,FALSE)/INDEX(RawMaterials[],MATCH(C54,RawMaterials[[Material Name]:[Material Name]],0),MATCH("MW (g/mol)",RawMaterials[#Headers],0)),"n/a"))</f>
        <v/>
      </c>
      <c r="L54" s="75" t="str">
        <f t="shared" si="6"/>
        <v/>
      </c>
      <c r="M54" s="77" t="str">
        <f>IFERROR(INDEX(RawMaterials[],MATCH($C54,RawMaterials[[Material Name]:[Material Name]],0),MATCH("Unit Price",RawMaterials[#Headers],0)),"")</f>
        <v/>
      </c>
      <c r="N54" s="89" t="str">
        <f t="shared" si="9"/>
        <v/>
      </c>
      <c r="O54" s="90" t="str">
        <f t="shared" si="10"/>
        <v/>
      </c>
      <c r="P54" s="66"/>
      <c r="Q54" s="85" t="str">
        <f t="shared" si="7"/>
        <v/>
      </c>
      <c r="R54" s="86" t="str">
        <f t="shared" si="8"/>
        <v/>
      </c>
      <c r="S54" s="19"/>
      <c r="T54" s="96"/>
    </row>
    <row r="55" spans="2:20">
      <c r="B55" s="16"/>
      <c r="C55" s="69"/>
      <c r="D55" s="83"/>
      <c r="E55" s="84"/>
      <c r="F55" s="84"/>
      <c r="G55" s="74"/>
      <c r="H55" s="73"/>
      <c r="I55" s="75" t="str">
        <f>IFERROR(IF(VLOOKUP(G55,UnitConv[],6,FALSE)="Yes",IF(ISBLANK(INDEX(RawMaterials[],MATCH($C55,RawMaterials[[Material Name]:[Material Name]],0),MATCH("Density (g/mL)",RawMaterials[#Headers],0))),"No Density",D55*VLOOKUP(G55,UnitConv[],7,FALSE)*INDEX(RawMaterials[],MATCH($C55,RawMaterials[[Material Name]:[Material Name]],0),MATCH("Density (g/mL)",RawMaterials[#Headers],0))/VLOOKUP(OutMassUnit,UnitConv[],5,FALSE)),D55*VLOOKUP(G55,UnitConv[],5,FALSE)/VLOOKUP(OutMassUnit,UnitConv[],5,FALSE)),"")</f>
        <v/>
      </c>
      <c r="J55" s="75"/>
      <c r="K55" s="75" t="str">
        <f>IF(I55="","",IFERROR(I55*VLOOKUP(OutMassUnit,UnitConv[],5,FALSE)/VLOOKUP("g",UnitConv[],5,FALSE)/INDEX(RawMaterials[],MATCH(C55,RawMaterials[[Material Name]:[Material Name]],0),MATCH("MW (g/mol)",RawMaterials[#Headers],0)),"n/a"))</f>
        <v/>
      </c>
      <c r="L55" s="75" t="str">
        <f t="shared" si="6"/>
        <v/>
      </c>
      <c r="M55" s="77" t="str">
        <f>IFERROR(INDEX(RawMaterials[],MATCH($C55,RawMaterials[[Material Name]:[Material Name]],0),MATCH("Unit Price",RawMaterials[#Headers],0)),"")</f>
        <v/>
      </c>
      <c r="N55" s="89" t="str">
        <f t="shared" si="9"/>
        <v/>
      </c>
      <c r="O55" s="90" t="str">
        <f t="shared" si="10"/>
        <v/>
      </c>
      <c r="P55" s="66"/>
      <c r="Q55" s="85" t="str">
        <f t="shared" si="7"/>
        <v/>
      </c>
      <c r="R55" s="86" t="str">
        <f t="shared" si="8"/>
        <v/>
      </c>
      <c r="S55" s="19"/>
    </row>
    <row r="56" spans="2:20" ht="17" thickBot="1">
      <c r="B56" s="21"/>
      <c r="C56" s="22"/>
      <c r="D56" s="22"/>
      <c r="E56" s="22"/>
      <c r="F56" s="22"/>
      <c r="G56" s="22"/>
      <c r="H56" s="22"/>
      <c r="I56" s="22"/>
      <c r="J56" s="22"/>
      <c r="K56" s="22"/>
      <c r="L56" s="22"/>
      <c r="M56" s="22"/>
      <c r="N56" s="22"/>
      <c r="O56" s="22"/>
      <c r="P56" s="22"/>
      <c r="Q56" s="22"/>
      <c r="R56" s="22"/>
      <c r="S56" s="23"/>
    </row>
  </sheetData>
  <mergeCells count="14">
    <mergeCell ref="B3:D3"/>
    <mergeCell ref="B17:D17"/>
    <mergeCell ref="B28:D28"/>
    <mergeCell ref="I19:O19"/>
    <mergeCell ref="C19:G19"/>
    <mergeCell ref="Q19:R19"/>
    <mergeCell ref="B39:D39"/>
    <mergeCell ref="Q30:R30"/>
    <mergeCell ref="P11:S11"/>
    <mergeCell ref="C41:G41"/>
    <mergeCell ref="I41:O41"/>
    <mergeCell ref="Q41:R41"/>
    <mergeCell ref="C30:G30"/>
    <mergeCell ref="I30:O30"/>
  </mergeCells>
  <conditionalFormatting sqref="D8:D9 D14 D7 D10 D6">
    <cfRule type="containsBlanks" dxfId="203" priority="4">
      <formula>LEN(TRIM(D6))=0</formula>
    </cfRule>
  </conditionalFormatting>
  <conditionalFormatting sqref="C21:D25 C43:D55 C32:D36 G21:G25 G32:G36 G43:G55">
    <cfRule type="containsBlanks" dxfId="202" priority="6">
      <formula>LEN(TRIM(C21))=0</formula>
    </cfRule>
  </conditionalFormatting>
  <conditionalFormatting sqref="D8:D9">
    <cfRule type="expression" dxfId="201" priority="2">
      <formula>$D$6&lt;&gt;"% Yield"</formula>
    </cfRule>
  </conditionalFormatting>
  <conditionalFormatting sqref="C21:G21">
    <cfRule type="expression" dxfId="200" priority="1">
      <formula>AND($D$6="% Yield",ISBLANK(C21))</formula>
    </cfRule>
  </conditionalFormatting>
  <dataValidations count="3">
    <dataValidation type="list" allowBlank="1" showInputMessage="1" showErrorMessage="1" sqref="D6" xr:uid="{00000000-0002-0000-0200-000000000000}">
      <formula1>"% Yield,AP Mass,Catalyst Mass"</formula1>
    </dataValidation>
    <dataValidation type="list" allowBlank="1" showInputMessage="1" showErrorMessage="1" sqref="G21:G25 G43:G55 G32:G36" xr:uid="{00000000-0002-0000-0200-000001000000}">
      <formula1>Units</formula1>
    </dataValidation>
    <dataValidation type="list" allowBlank="1" showInputMessage="1" showErrorMessage="1" sqref="C21:C25 C32:C36 C43:C55" xr:uid="{00000000-0002-0000-0200-000002000000}">
      <formula1>RawMaterialNames</formula1>
    </dataValidation>
  </dataValidations>
  <pageMargins left="0.75" right="0.75" top="1" bottom="1" header="0.5" footer="0.5"/>
  <pageSetup orientation="portrait" horizontalDpi="4294967292" verticalDpi="4294967292"/>
  <ignoredErrors>
    <ignoredError sqref="A2:XFD5 A8:XFD9 A7:C7 G7:XFD7 A16:XFD16 A10:C10 E10:XFD10 A26:XFD27 A21:B21 H21 A63:XFD1048576 A58:O62 T58:XFD62 A11:O13 T11:XFD15 A6:C6 E6:XFD6 A40:XFD42 A39 C39:XFD39 A18:XFD20 A17 C17:XFD17 A29:XFD31 A28 C28:XFD28 J21:XFD21 A22:H25 J22:XFD25 A37:XFD38 A32:H32 J32:XFD32 A33:H36 J33:XFD36 A56:XFD57 A43:B43 J43:XFD43 A51:H55 J44:XFD55 E43:F43 A44:B50 E50:F50 E45:F45 H43 E44:F44 H44 H45 E46:F46 H46 E47:F47 H47 E48:F48 H48 E49:F49 H49 H50 B1:XFD1 A15:O15 A14:E14 G14:O14" emptyCellReference="1"/>
  </ignoredErrors>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XFD457"/>
  <sheetViews>
    <sheetView zoomScaleNormal="100" workbookViewId="0">
      <pane ySplit="1" topLeftCell="A2" activePane="bottomLeft" state="frozenSplit"/>
      <selection pane="bottomLeft"/>
    </sheetView>
  </sheetViews>
  <sheetFormatPr baseColWidth="10" defaultRowHeight="16" outlineLevelRow="1"/>
  <cols>
    <col min="1" max="2" width="2.5" style="11" customWidth="1"/>
    <col min="3" max="3" width="33.5" style="11" bestFit="1" customWidth="1"/>
    <col min="4" max="5" width="18.83203125" style="11" bestFit="1" customWidth="1"/>
    <col min="6" max="7" width="18.83203125" style="11" customWidth="1"/>
    <col min="8" max="8" width="2.5" style="11" customWidth="1"/>
    <col min="9" max="9" width="45" style="11" bestFit="1" customWidth="1"/>
    <col min="10" max="10" width="2.5" style="11" customWidth="1"/>
    <col min="11" max="16384" width="10.83203125" style="11"/>
  </cols>
  <sheetData>
    <row r="1" spans="1:16384" ht="24" customHeight="1">
      <c r="A1" s="10"/>
      <c r="B1" s="108" t="str">
        <f>"CatCost v"&amp;Version&amp;": "&amp;EstimateName</f>
        <v>CatCost v1.0.0: FCC RE USY</v>
      </c>
      <c r="C1" s="10"/>
      <c r="D1" s="10"/>
      <c r="E1" s="10"/>
      <c r="F1" s="10"/>
      <c r="G1" s="109"/>
      <c r="H1" s="109"/>
      <c r="I1" s="110"/>
      <c r="J1" s="110"/>
      <c r="K1" s="110"/>
      <c r="L1" s="110"/>
      <c r="M1" s="110"/>
      <c r="N1" s="110"/>
      <c r="O1" s="110"/>
      <c r="P1" s="110"/>
      <c r="Q1" s="110"/>
      <c r="R1" s="110"/>
      <c r="S1" s="110"/>
      <c r="T1" s="110"/>
      <c r="U1" s="110"/>
      <c r="V1" s="110"/>
      <c r="W1" s="110"/>
      <c r="X1" s="10" t="s">
        <v>1089</v>
      </c>
      <c r="Y1" s="110"/>
      <c r="Z1" s="110"/>
      <c r="AA1" s="110" t="str">
        <f t="array" ref="AA1:AA29" ca="1">IF(ROW()&gt;COUNTIF($C$1:$C$10208,"Step Method Template Name"),"",OFFSET($C$1,SMALL(IF($C$1:$C$10208="Step Method Template Name",ROW($C$1:$C$10208)),ROW()),0))</f>
        <v>Custom Step Process</v>
      </c>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c r="FQ1" s="110"/>
      <c r="FR1" s="110"/>
      <c r="FS1" s="110"/>
      <c r="FT1" s="110"/>
      <c r="FU1" s="110"/>
      <c r="FV1" s="110"/>
      <c r="FW1" s="110"/>
      <c r="FX1" s="110"/>
      <c r="FY1" s="110"/>
      <c r="FZ1" s="110"/>
      <c r="GA1" s="110"/>
      <c r="GB1" s="110"/>
      <c r="GC1" s="110"/>
      <c r="GD1" s="110"/>
      <c r="GE1" s="110"/>
      <c r="GF1" s="110"/>
      <c r="GG1" s="110"/>
      <c r="GH1" s="110"/>
      <c r="GI1" s="110"/>
      <c r="GJ1" s="110"/>
      <c r="GK1" s="110"/>
      <c r="GL1" s="110"/>
      <c r="GM1" s="110"/>
      <c r="GN1" s="110"/>
      <c r="GO1" s="110"/>
      <c r="GP1" s="110"/>
      <c r="GQ1" s="110"/>
      <c r="GR1" s="110"/>
      <c r="GS1" s="110"/>
      <c r="GT1" s="110"/>
      <c r="GU1" s="110"/>
      <c r="GV1" s="110"/>
      <c r="GW1" s="110"/>
      <c r="GX1" s="110"/>
      <c r="GY1" s="110"/>
      <c r="GZ1" s="110"/>
      <c r="HA1" s="110"/>
      <c r="HB1" s="110"/>
      <c r="HC1" s="110"/>
      <c r="HD1" s="110"/>
      <c r="HE1" s="110"/>
      <c r="HF1" s="110"/>
      <c r="HG1" s="110"/>
      <c r="HH1" s="110"/>
      <c r="HI1" s="110"/>
      <c r="HJ1" s="110"/>
      <c r="HK1" s="110"/>
      <c r="HL1" s="110"/>
      <c r="HM1" s="110"/>
      <c r="HN1" s="110"/>
      <c r="HO1" s="110"/>
      <c r="HP1" s="110"/>
      <c r="HQ1" s="110"/>
      <c r="HR1" s="110"/>
      <c r="HS1" s="110"/>
      <c r="HT1" s="110"/>
      <c r="HU1" s="110"/>
      <c r="HV1" s="110"/>
      <c r="HW1" s="110"/>
      <c r="HX1" s="110"/>
      <c r="HY1" s="110"/>
      <c r="HZ1" s="110"/>
      <c r="IA1" s="110"/>
      <c r="IB1" s="110"/>
      <c r="IC1" s="110"/>
      <c r="ID1" s="110"/>
      <c r="IE1" s="110"/>
      <c r="IF1" s="110"/>
      <c r="IG1" s="110"/>
      <c r="IH1" s="110"/>
      <c r="II1" s="110"/>
      <c r="IJ1" s="110"/>
      <c r="IK1" s="110"/>
      <c r="IL1" s="110"/>
      <c r="IM1" s="110"/>
      <c r="IN1" s="110"/>
      <c r="IO1" s="110"/>
      <c r="IP1" s="110"/>
      <c r="IQ1" s="110"/>
      <c r="IR1" s="110"/>
      <c r="IS1" s="110"/>
      <c r="IT1" s="110"/>
      <c r="IU1" s="110"/>
      <c r="IV1" s="110"/>
      <c r="IW1" s="110"/>
      <c r="IX1" s="110"/>
      <c r="IY1" s="110"/>
      <c r="IZ1" s="110"/>
      <c r="JA1" s="110"/>
      <c r="JB1" s="110"/>
      <c r="JC1" s="110"/>
      <c r="JD1" s="110"/>
      <c r="JE1" s="110"/>
      <c r="JF1" s="110"/>
      <c r="JG1" s="110"/>
      <c r="JH1" s="110"/>
      <c r="JI1" s="110"/>
      <c r="JJ1" s="110"/>
      <c r="JK1" s="110"/>
      <c r="JL1" s="110"/>
      <c r="JM1" s="110"/>
      <c r="JN1" s="110"/>
      <c r="JO1" s="110"/>
      <c r="JP1" s="110"/>
      <c r="JQ1" s="110"/>
      <c r="JR1" s="110"/>
      <c r="JS1" s="110"/>
      <c r="JT1" s="110"/>
      <c r="JU1" s="110"/>
      <c r="JV1" s="110"/>
      <c r="JW1" s="110"/>
      <c r="JX1" s="110"/>
      <c r="JY1" s="110"/>
      <c r="JZ1" s="110"/>
      <c r="KA1" s="110"/>
      <c r="KB1" s="110"/>
      <c r="KC1" s="110"/>
      <c r="KD1" s="110"/>
      <c r="KE1" s="110"/>
      <c r="KF1" s="110"/>
      <c r="KG1" s="110"/>
      <c r="KH1" s="110"/>
      <c r="KI1" s="110"/>
      <c r="KJ1" s="110"/>
      <c r="KK1" s="110"/>
      <c r="KL1" s="110"/>
      <c r="KM1" s="110"/>
      <c r="KN1" s="110"/>
      <c r="KO1" s="110"/>
      <c r="KP1" s="110"/>
      <c r="KQ1" s="110"/>
      <c r="KR1" s="110"/>
      <c r="KS1" s="110"/>
      <c r="KT1" s="110"/>
      <c r="KU1" s="110"/>
      <c r="KV1" s="110"/>
      <c r="KW1" s="110"/>
      <c r="KX1" s="110"/>
      <c r="KY1" s="110"/>
      <c r="KZ1" s="110"/>
      <c r="LA1" s="110"/>
      <c r="LB1" s="110"/>
      <c r="LC1" s="110"/>
      <c r="LD1" s="110"/>
      <c r="LE1" s="110"/>
      <c r="LF1" s="110"/>
      <c r="LG1" s="110"/>
      <c r="LH1" s="110"/>
      <c r="LI1" s="110"/>
      <c r="LJ1" s="110"/>
      <c r="LK1" s="110"/>
      <c r="LL1" s="110"/>
      <c r="LM1" s="110"/>
      <c r="LN1" s="110"/>
      <c r="LO1" s="110"/>
      <c r="LP1" s="110"/>
      <c r="LQ1" s="110"/>
      <c r="LR1" s="110"/>
      <c r="LS1" s="110"/>
      <c r="LT1" s="110"/>
      <c r="LU1" s="110"/>
      <c r="LV1" s="110"/>
      <c r="LW1" s="110"/>
      <c r="LX1" s="110"/>
      <c r="LY1" s="110"/>
      <c r="LZ1" s="110"/>
      <c r="MA1" s="110"/>
      <c r="MB1" s="110"/>
      <c r="MC1" s="110"/>
      <c r="MD1" s="110"/>
      <c r="ME1" s="110"/>
      <c r="MF1" s="110"/>
      <c r="MG1" s="110"/>
      <c r="MH1" s="110"/>
      <c r="MI1" s="110"/>
      <c r="MJ1" s="110"/>
      <c r="MK1" s="110"/>
      <c r="ML1" s="110"/>
      <c r="MM1" s="110"/>
      <c r="MN1" s="110"/>
      <c r="MO1" s="110"/>
      <c r="MP1" s="110"/>
      <c r="MQ1" s="110"/>
      <c r="MR1" s="110"/>
      <c r="MS1" s="110"/>
      <c r="MT1" s="110"/>
      <c r="MU1" s="110"/>
      <c r="MV1" s="110"/>
      <c r="MW1" s="110"/>
      <c r="MX1" s="110"/>
      <c r="MY1" s="110"/>
      <c r="MZ1" s="110"/>
      <c r="NA1" s="110"/>
      <c r="NB1" s="110"/>
      <c r="NC1" s="110"/>
      <c r="ND1" s="110"/>
      <c r="NE1" s="110"/>
      <c r="NF1" s="110"/>
      <c r="NG1" s="110"/>
      <c r="NH1" s="110"/>
      <c r="NI1" s="110"/>
      <c r="NJ1" s="110"/>
      <c r="NK1" s="110"/>
      <c r="NL1" s="110"/>
      <c r="NM1" s="110"/>
      <c r="NN1" s="110"/>
      <c r="NO1" s="110"/>
      <c r="NP1" s="110"/>
      <c r="NQ1" s="110"/>
      <c r="NR1" s="110"/>
      <c r="NS1" s="110"/>
      <c r="NT1" s="110"/>
      <c r="NU1" s="110"/>
      <c r="NV1" s="110"/>
      <c r="NW1" s="110"/>
      <c r="NX1" s="110"/>
      <c r="NY1" s="110"/>
      <c r="NZ1" s="110"/>
      <c r="OA1" s="110"/>
      <c r="OB1" s="110"/>
      <c r="OC1" s="110"/>
      <c r="OD1" s="110"/>
      <c r="OE1" s="110"/>
      <c r="OF1" s="110"/>
      <c r="OG1" s="110"/>
      <c r="OH1" s="110"/>
      <c r="OI1" s="110"/>
      <c r="OJ1" s="110"/>
      <c r="OK1" s="110"/>
      <c r="OL1" s="110"/>
      <c r="OM1" s="110"/>
      <c r="ON1" s="110"/>
      <c r="OO1" s="110"/>
      <c r="OP1" s="110"/>
      <c r="OQ1" s="110"/>
      <c r="OR1" s="110"/>
      <c r="OS1" s="110"/>
      <c r="OT1" s="110"/>
      <c r="OU1" s="110"/>
      <c r="OV1" s="110"/>
      <c r="OW1" s="110"/>
      <c r="OX1" s="110"/>
      <c r="OY1" s="110"/>
      <c r="OZ1" s="110"/>
      <c r="PA1" s="110"/>
      <c r="PB1" s="110"/>
      <c r="PC1" s="110"/>
      <c r="PD1" s="110"/>
      <c r="PE1" s="110"/>
      <c r="PF1" s="110"/>
      <c r="PG1" s="110"/>
      <c r="PH1" s="110"/>
      <c r="PI1" s="110"/>
      <c r="PJ1" s="110"/>
      <c r="PK1" s="110"/>
      <c r="PL1" s="110"/>
      <c r="PM1" s="110"/>
      <c r="PN1" s="110"/>
      <c r="PO1" s="110"/>
      <c r="PP1" s="110"/>
      <c r="PQ1" s="110"/>
      <c r="PR1" s="110"/>
      <c r="PS1" s="110"/>
      <c r="PT1" s="110"/>
      <c r="PU1" s="110"/>
      <c r="PV1" s="110"/>
      <c r="PW1" s="110"/>
      <c r="PX1" s="110"/>
      <c r="PY1" s="110"/>
      <c r="PZ1" s="110"/>
      <c r="QA1" s="110"/>
      <c r="QB1" s="110"/>
      <c r="QC1" s="110"/>
      <c r="QD1" s="110"/>
      <c r="QE1" s="110"/>
      <c r="QF1" s="110"/>
      <c r="QG1" s="110"/>
      <c r="QH1" s="110"/>
      <c r="QI1" s="110"/>
      <c r="QJ1" s="110"/>
      <c r="QK1" s="110"/>
      <c r="QL1" s="110"/>
      <c r="QM1" s="110"/>
      <c r="QN1" s="110"/>
      <c r="QO1" s="110"/>
      <c r="QP1" s="110"/>
      <c r="QQ1" s="110"/>
      <c r="QR1" s="110"/>
      <c r="QS1" s="110"/>
      <c r="QT1" s="110"/>
      <c r="QU1" s="110"/>
      <c r="QV1" s="110"/>
      <c r="QW1" s="110"/>
      <c r="QX1" s="110"/>
      <c r="QY1" s="110"/>
      <c r="QZ1" s="110"/>
      <c r="RA1" s="110"/>
      <c r="RB1" s="110"/>
      <c r="RC1" s="110"/>
      <c r="RD1" s="110"/>
      <c r="RE1" s="110"/>
      <c r="RF1" s="110"/>
      <c r="RG1" s="110"/>
      <c r="RH1" s="110"/>
      <c r="RI1" s="110"/>
      <c r="RJ1" s="110"/>
      <c r="RK1" s="110"/>
      <c r="RL1" s="110"/>
      <c r="RM1" s="110"/>
      <c r="RN1" s="110"/>
      <c r="RO1" s="110"/>
      <c r="RP1" s="110"/>
      <c r="RQ1" s="110"/>
      <c r="RR1" s="110"/>
      <c r="RS1" s="110"/>
      <c r="RT1" s="110"/>
      <c r="RU1" s="110"/>
      <c r="RV1" s="110"/>
      <c r="RW1" s="110"/>
      <c r="RX1" s="110"/>
      <c r="RY1" s="110"/>
      <c r="RZ1" s="110"/>
      <c r="SA1" s="110"/>
      <c r="SB1" s="110"/>
      <c r="SC1" s="110"/>
      <c r="SD1" s="110"/>
      <c r="SE1" s="110"/>
      <c r="SF1" s="110"/>
      <c r="SG1" s="110"/>
      <c r="SH1" s="110"/>
      <c r="SI1" s="110"/>
      <c r="SJ1" s="110"/>
      <c r="SK1" s="110"/>
      <c r="SL1" s="110"/>
      <c r="SM1" s="110"/>
      <c r="SN1" s="110"/>
      <c r="SO1" s="110"/>
      <c r="SP1" s="110"/>
      <c r="SQ1" s="110"/>
      <c r="SR1" s="110"/>
      <c r="SS1" s="110"/>
      <c r="ST1" s="110"/>
      <c r="SU1" s="110"/>
      <c r="SV1" s="110"/>
      <c r="SW1" s="110"/>
      <c r="SX1" s="110"/>
      <c r="SY1" s="110"/>
      <c r="SZ1" s="110"/>
      <c r="TA1" s="110"/>
      <c r="TB1" s="110"/>
      <c r="TC1" s="110"/>
      <c r="TD1" s="110"/>
      <c r="TE1" s="110"/>
      <c r="TF1" s="110"/>
      <c r="TG1" s="110"/>
      <c r="TH1" s="110"/>
      <c r="TI1" s="110"/>
      <c r="TJ1" s="110"/>
      <c r="TK1" s="110"/>
      <c r="TL1" s="110"/>
      <c r="TM1" s="110"/>
      <c r="TN1" s="110"/>
      <c r="TO1" s="110"/>
      <c r="TP1" s="110"/>
      <c r="TQ1" s="110"/>
      <c r="TR1" s="110"/>
      <c r="TS1" s="110"/>
      <c r="TT1" s="110"/>
      <c r="TU1" s="110"/>
      <c r="TV1" s="110"/>
      <c r="TW1" s="110"/>
      <c r="TX1" s="110"/>
      <c r="TY1" s="110"/>
      <c r="TZ1" s="110"/>
      <c r="UA1" s="110"/>
      <c r="UB1" s="110"/>
      <c r="UC1" s="110"/>
      <c r="UD1" s="110"/>
      <c r="UE1" s="110"/>
      <c r="UF1" s="110"/>
      <c r="UG1" s="110"/>
      <c r="UH1" s="110"/>
      <c r="UI1" s="110"/>
      <c r="UJ1" s="110"/>
      <c r="UK1" s="110"/>
      <c r="UL1" s="110"/>
      <c r="UM1" s="110"/>
      <c r="UN1" s="110"/>
      <c r="UO1" s="110"/>
      <c r="UP1" s="110"/>
      <c r="UQ1" s="110"/>
      <c r="UR1" s="110"/>
      <c r="US1" s="110"/>
      <c r="UT1" s="110"/>
      <c r="UU1" s="110"/>
      <c r="UV1" s="110"/>
      <c r="UW1" s="110"/>
      <c r="UX1" s="110"/>
      <c r="UY1" s="110"/>
      <c r="UZ1" s="110"/>
      <c r="VA1" s="110"/>
      <c r="VB1" s="110"/>
      <c r="VC1" s="110"/>
      <c r="VD1" s="110"/>
      <c r="VE1" s="110"/>
      <c r="VF1" s="110"/>
      <c r="VG1" s="110"/>
      <c r="VH1" s="110"/>
      <c r="VI1" s="110"/>
      <c r="VJ1" s="110"/>
      <c r="VK1" s="110"/>
      <c r="VL1" s="110"/>
      <c r="VM1" s="110"/>
      <c r="VN1" s="110"/>
      <c r="VO1" s="110"/>
      <c r="VP1" s="110"/>
      <c r="VQ1" s="110"/>
      <c r="VR1" s="110"/>
      <c r="VS1" s="110"/>
      <c r="VT1" s="110"/>
      <c r="VU1" s="110"/>
      <c r="VV1" s="110"/>
      <c r="VW1" s="110"/>
      <c r="VX1" s="110"/>
      <c r="VY1" s="110"/>
      <c r="VZ1" s="110"/>
      <c r="WA1" s="110"/>
      <c r="WB1" s="110"/>
      <c r="WC1" s="110"/>
      <c r="WD1" s="110"/>
      <c r="WE1" s="110"/>
      <c r="WF1" s="110"/>
      <c r="WG1" s="110"/>
      <c r="WH1" s="110"/>
      <c r="WI1" s="110"/>
      <c r="WJ1" s="110"/>
      <c r="WK1" s="110"/>
      <c r="WL1" s="110"/>
      <c r="WM1" s="110"/>
      <c r="WN1" s="110"/>
      <c r="WO1" s="110"/>
      <c r="WP1" s="110"/>
      <c r="WQ1" s="110"/>
      <c r="WR1" s="110"/>
      <c r="WS1" s="110"/>
      <c r="WT1" s="110"/>
      <c r="WU1" s="110"/>
      <c r="WV1" s="110"/>
      <c r="WW1" s="110"/>
      <c r="WX1" s="110"/>
      <c r="WY1" s="110"/>
      <c r="WZ1" s="110"/>
      <c r="XA1" s="110"/>
      <c r="XB1" s="110"/>
      <c r="XC1" s="110"/>
      <c r="XD1" s="110"/>
      <c r="XE1" s="110"/>
      <c r="XF1" s="110"/>
      <c r="XG1" s="110"/>
      <c r="XH1" s="110"/>
      <c r="XI1" s="110"/>
      <c r="XJ1" s="110"/>
      <c r="XK1" s="110"/>
      <c r="XL1" s="110"/>
      <c r="XM1" s="110"/>
      <c r="XN1" s="110"/>
      <c r="XO1" s="110"/>
      <c r="XP1" s="110"/>
      <c r="XQ1" s="110"/>
      <c r="XR1" s="110"/>
      <c r="XS1" s="110"/>
      <c r="XT1" s="110"/>
      <c r="XU1" s="110"/>
      <c r="XV1" s="110"/>
      <c r="XW1" s="110"/>
      <c r="XX1" s="110"/>
      <c r="XY1" s="110"/>
      <c r="XZ1" s="110"/>
      <c r="YA1" s="110"/>
      <c r="YB1" s="110"/>
      <c r="YC1" s="110"/>
      <c r="YD1" s="110"/>
      <c r="YE1" s="110"/>
      <c r="YF1" s="110"/>
      <c r="YG1" s="110"/>
      <c r="YH1" s="110"/>
      <c r="YI1" s="110"/>
      <c r="YJ1" s="110"/>
      <c r="YK1" s="110"/>
      <c r="YL1" s="110"/>
      <c r="YM1" s="110"/>
      <c r="YN1" s="110"/>
      <c r="YO1" s="110"/>
      <c r="YP1" s="110"/>
      <c r="YQ1" s="110"/>
      <c r="YR1" s="110"/>
      <c r="YS1" s="110"/>
      <c r="YT1" s="110"/>
      <c r="YU1" s="110"/>
      <c r="YV1" s="110"/>
      <c r="YW1" s="110"/>
      <c r="YX1" s="110"/>
      <c r="YY1" s="110"/>
      <c r="YZ1" s="110"/>
      <c r="ZA1" s="110"/>
      <c r="ZB1" s="110"/>
      <c r="ZC1" s="110"/>
      <c r="ZD1" s="110"/>
      <c r="ZE1" s="110"/>
      <c r="ZF1" s="110"/>
      <c r="ZG1" s="110"/>
      <c r="ZH1" s="110"/>
      <c r="ZI1" s="110"/>
      <c r="ZJ1" s="110"/>
      <c r="ZK1" s="110"/>
      <c r="ZL1" s="110"/>
      <c r="ZM1" s="110"/>
      <c r="ZN1" s="110"/>
      <c r="ZO1" s="110"/>
      <c r="ZP1" s="110"/>
      <c r="ZQ1" s="110"/>
      <c r="ZR1" s="110"/>
      <c r="ZS1" s="110"/>
      <c r="ZT1" s="110"/>
      <c r="ZU1" s="110"/>
      <c r="ZV1" s="110"/>
      <c r="ZW1" s="110"/>
      <c r="ZX1" s="110"/>
      <c r="ZY1" s="110"/>
      <c r="ZZ1" s="110"/>
      <c r="AAA1" s="110"/>
      <c r="AAB1" s="110"/>
      <c r="AAC1" s="110"/>
      <c r="AAD1" s="110"/>
      <c r="AAE1" s="110"/>
      <c r="AAF1" s="110"/>
      <c r="AAG1" s="110"/>
      <c r="AAH1" s="110"/>
      <c r="AAI1" s="110"/>
      <c r="AAJ1" s="110"/>
      <c r="AAK1" s="110"/>
      <c r="AAL1" s="110"/>
      <c r="AAM1" s="110"/>
      <c r="AAN1" s="110"/>
      <c r="AAO1" s="110"/>
      <c r="AAP1" s="110"/>
      <c r="AAQ1" s="110"/>
      <c r="AAR1" s="110"/>
      <c r="AAS1" s="110"/>
      <c r="AAT1" s="110"/>
      <c r="AAU1" s="110"/>
      <c r="AAV1" s="110"/>
      <c r="AAW1" s="110"/>
      <c r="AAX1" s="110"/>
      <c r="AAY1" s="110"/>
      <c r="AAZ1" s="110"/>
      <c r="ABA1" s="110"/>
      <c r="ABB1" s="110"/>
      <c r="ABC1" s="110"/>
      <c r="ABD1" s="110"/>
      <c r="ABE1" s="110"/>
      <c r="ABF1" s="110"/>
      <c r="ABG1" s="110"/>
      <c r="ABH1" s="110"/>
      <c r="ABI1" s="110"/>
      <c r="ABJ1" s="110"/>
      <c r="ABK1" s="110"/>
      <c r="ABL1" s="110"/>
      <c r="ABM1" s="110"/>
      <c r="ABN1" s="110"/>
      <c r="ABO1" s="110"/>
      <c r="ABP1" s="110"/>
      <c r="ABQ1" s="110"/>
      <c r="ABR1" s="110"/>
      <c r="ABS1" s="110"/>
      <c r="ABT1" s="110"/>
      <c r="ABU1" s="110"/>
      <c r="ABV1" s="110"/>
      <c r="ABW1" s="110"/>
      <c r="ABX1" s="110"/>
      <c r="ABY1" s="110"/>
      <c r="ABZ1" s="110"/>
      <c r="ACA1" s="110"/>
      <c r="ACB1" s="110"/>
      <c r="ACC1" s="110"/>
      <c r="ACD1" s="110"/>
      <c r="ACE1" s="110"/>
      <c r="ACF1" s="110"/>
      <c r="ACG1" s="110"/>
      <c r="ACH1" s="110"/>
      <c r="ACI1" s="110"/>
      <c r="ACJ1" s="110"/>
      <c r="ACK1" s="110"/>
      <c r="ACL1" s="110"/>
      <c r="ACM1" s="110"/>
      <c r="ACN1" s="110"/>
      <c r="ACO1" s="110"/>
      <c r="ACP1" s="110"/>
      <c r="ACQ1" s="110"/>
      <c r="ACR1" s="110"/>
      <c r="ACS1" s="110"/>
      <c r="ACT1" s="110"/>
      <c r="ACU1" s="110"/>
      <c r="ACV1" s="110"/>
      <c r="ACW1" s="110"/>
      <c r="ACX1" s="110"/>
      <c r="ACY1" s="110"/>
      <c r="ACZ1" s="110"/>
      <c r="ADA1" s="110"/>
      <c r="ADB1" s="110"/>
      <c r="ADC1" s="110"/>
      <c r="ADD1" s="110"/>
      <c r="ADE1" s="110"/>
      <c r="ADF1" s="110"/>
      <c r="ADG1" s="110"/>
      <c r="ADH1" s="110"/>
      <c r="ADI1" s="110"/>
      <c r="ADJ1" s="110"/>
      <c r="ADK1" s="110"/>
      <c r="ADL1" s="110"/>
      <c r="ADM1" s="110"/>
      <c r="ADN1" s="110"/>
      <c r="ADO1" s="110"/>
      <c r="ADP1" s="110"/>
      <c r="ADQ1" s="110"/>
      <c r="ADR1" s="110"/>
      <c r="ADS1" s="110"/>
      <c r="ADT1" s="110"/>
      <c r="ADU1" s="110"/>
      <c r="ADV1" s="110"/>
      <c r="ADW1" s="110"/>
      <c r="ADX1" s="110"/>
      <c r="ADY1" s="110"/>
      <c r="ADZ1" s="110"/>
      <c r="AEA1" s="110"/>
      <c r="AEB1" s="110"/>
      <c r="AEC1" s="110"/>
      <c r="AED1" s="110"/>
      <c r="AEE1" s="110"/>
      <c r="AEF1" s="110"/>
      <c r="AEG1" s="110"/>
      <c r="AEH1" s="110"/>
      <c r="AEI1" s="110"/>
      <c r="AEJ1" s="110"/>
      <c r="AEK1" s="110"/>
      <c r="AEL1" s="110"/>
      <c r="AEM1" s="110"/>
      <c r="AEN1" s="110"/>
      <c r="AEO1" s="110"/>
      <c r="AEP1" s="110"/>
      <c r="AEQ1" s="110"/>
      <c r="AER1" s="110"/>
      <c r="AES1" s="110"/>
      <c r="AET1" s="110"/>
      <c r="AEU1" s="110"/>
      <c r="AEV1" s="110"/>
      <c r="AEW1" s="110"/>
      <c r="AEX1" s="110"/>
      <c r="AEY1" s="110"/>
      <c r="AEZ1" s="110"/>
      <c r="AFA1" s="110"/>
      <c r="AFB1" s="110"/>
      <c r="AFC1" s="110"/>
      <c r="AFD1" s="110"/>
      <c r="AFE1" s="110"/>
      <c r="AFF1" s="110"/>
      <c r="AFG1" s="110"/>
      <c r="AFH1" s="110"/>
      <c r="AFI1" s="110"/>
      <c r="AFJ1" s="110"/>
      <c r="AFK1" s="110"/>
      <c r="AFL1" s="110"/>
      <c r="AFM1" s="110"/>
      <c r="AFN1" s="110"/>
      <c r="AFO1" s="110"/>
      <c r="AFP1" s="110"/>
      <c r="AFQ1" s="110"/>
      <c r="AFR1" s="110"/>
      <c r="AFS1" s="110"/>
      <c r="AFT1" s="110"/>
      <c r="AFU1" s="110"/>
      <c r="AFV1" s="110"/>
      <c r="AFW1" s="110"/>
      <c r="AFX1" s="110"/>
      <c r="AFY1" s="110"/>
      <c r="AFZ1" s="110"/>
      <c r="AGA1" s="110"/>
      <c r="AGB1" s="110"/>
      <c r="AGC1" s="110"/>
      <c r="AGD1" s="110"/>
      <c r="AGE1" s="110"/>
      <c r="AGF1" s="110"/>
      <c r="AGG1" s="110"/>
      <c r="AGH1" s="110"/>
      <c r="AGI1" s="110"/>
      <c r="AGJ1" s="110"/>
      <c r="AGK1" s="110"/>
      <c r="AGL1" s="110"/>
      <c r="AGM1" s="110"/>
      <c r="AGN1" s="110"/>
      <c r="AGO1" s="110"/>
      <c r="AGP1" s="110"/>
      <c r="AGQ1" s="110"/>
      <c r="AGR1" s="110"/>
      <c r="AGS1" s="110"/>
      <c r="AGT1" s="110"/>
      <c r="AGU1" s="110"/>
      <c r="AGV1" s="110"/>
      <c r="AGW1" s="110"/>
      <c r="AGX1" s="110"/>
      <c r="AGY1" s="110"/>
      <c r="AGZ1" s="110"/>
      <c r="AHA1" s="110"/>
      <c r="AHB1" s="110"/>
      <c r="AHC1" s="110"/>
      <c r="AHD1" s="110"/>
      <c r="AHE1" s="110"/>
      <c r="AHF1" s="110"/>
      <c r="AHG1" s="110"/>
      <c r="AHH1" s="110"/>
      <c r="AHI1" s="110"/>
      <c r="AHJ1" s="110"/>
      <c r="AHK1" s="110"/>
      <c r="AHL1" s="110"/>
      <c r="AHM1" s="110"/>
      <c r="AHN1" s="110"/>
      <c r="AHO1" s="110"/>
      <c r="AHP1" s="110"/>
      <c r="AHQ1" s="110"/>
      <c r="AHR1" s="110"/>
      <c r="AHS1" s="110"/>
      <c r="AHT1" s="110"/>
      <c r="AHU1" s="110"/>
      <c r="AHV1" s="110"/>
      <c r="AHW1" s="110"/>
      <c r="AHX1" s="110"/>
      <c r="AHY1" s="110"/>
      <c r="AHZ1" s="110"/>
      <c r="AIA1" s="110"/>
      <c r="AIB1" s="110"/>
      <c r="AIC1" s="110"/>
      <c r="AID1" s="110"/>
      <c r="AIE1" s="110"/>
      <c r="AIF1" s="110"/>
      <c r="AIG1" s="110"/>
      <c r="AIH1" s="110"/>
      <c r="AII1" s="110"/>
      <c r="AIJ1" s="110"/>
      <c r="AIK1" s="110"/>
      <c r="AIL1" s="110"/>
      <c r="AIM1" s="110"/>
      <c r="AIN1" s="110"/>
      <c r="AIO1" s="110"/>
      <c r="AIP1" s="110"/>
      <c r="AIQ1" s="110"/>
      <c r="AIR1" s="110"/>
      <c r="AIS1" s="110"/>
      <c r="AIT1" s="110"/>
      <c r="AIU1" s="110"/>
      <c r="AIV1" s="110"/>
      <c r="AIW1" s="110"/>
      <c r="AIX1" s="110"/>
      <c r="AIY1" s="110"/>
      <c r="AIZ1" s="110"/>
      <c r="AJA1" s="110"/>
      <c r="AJB1" s="110"/>
      <c r="AJC1" s="110"/>
      <c r="AJD1" s="110"/>
      <c r="AJE1" s="110"/>
      <c r="AJF1" s="110"/>
      <c r="AJG1" s="110"/>
      <c r="AJH1" s="110"/>
      <c r="AJI1" s="110"/>
      <c r="AJJ1" s="110"/>
      <c r="AJK1" s="110"/>
      <c r="AJL1" s="110"/>
      <c r="AJM1" s="110"/>
      <c r="AJN1" s="110"/>
      <c r="AJO1" s="110"/>
      <c r="AJP1" s="110"/>
      <c r="AJQ1" s="110"/>
      <c r="AJR1" s="110"/>
      <c r="AJS1" s="110"/>
      <c r="AJT1" s="110"/>
      <c r="AJU1" s="110"/>
      <c r="AJV1" s="110"/>
      <c r="AJW1" s="110"/>
      <c r="AJX1" s="110"/>
      <c r="AJY1" s="110"/>
      <c r="AJZ1" s="110"/>
      <c r="AKA1" s="110"/>
      <c r="AKB1" s="110"/>
      <c r="AKC1" s="110"/>
      <c r="AKD1" s="110"/>
      <c r="AKE1" s="110"/>
      <c r="AKF1" s="110"/>
      <c r="AKG1" s="110"/>
      <c r="AKH1" s="110"/>
      <c r="AKI1" s="110"/>
      <c r="AKJ1" s="110"/>
      <c r="AKK1" s="110"/>
      <c r="AKL1" s="110"/>
      <c r="AKM1" s="110"/>
      <c r="AKN1" s="110"/>
      <c r="AKO1" s="110"/>
      <c r="AKP1" s="110"/>
      <c r="AKQ1" s="110"/>
      <c r="AKR1" s="110"/>
      <c r="AKS1" s="110"/>
      <c r="AKT1" s="110"/>
      <c r="AKU1" s="110"/>
      <c r="AKV1" s="110"/>
      <c r="AKW1" s="110"/>
      <c r="AKX1" s="110"/>
      <c r="AKY1" s="110"/>
      <c r="AKZ1" s="110"/>
      <c r="ALA1" s="110"/>
      <c r="ALB1" s="110"/>
      <c r="ALC1" s="110"/>
      <c r="ALD1" s="110"/>
      <c r="ALE1" s="110"/>
      <c r="ALF1" s="110"/>
      <c r="ALG1" s="110"/>
      <c r="ALH1" s="110"/>
      <c r="ALI1" s="110"/>
      <c r="ALJ1" s="110"/>
      <c r="ALK1" s="110"/>
      <c r="ALL1" s="110"/>
      <c r="ALM1" s="110"/>
      <c r="ALN1" s="110"/>
      <c r="ALO1" s="110"/>
      <c r="ALP1" s="110"/>
      <c r="ALQ1" s="110"/>
      <c r="ALR1" s="110"/>
      <c r="ALS1" s="110"/>
      <c r="ALT1" s="110"/>
      <c r="ALU1" s="110"/>
      <c r="ALV1" s="110"/>
      <c r="ALW1" s="110"/>
      <c r="ALX1" s="110"/>
      <c r="ALY1" s="110"/>
      <c r="ALZ1" s="110"/>
      <c r="AMA1" s="110"/>
      <c r="AMB1" s="110"/>
      <c r="AMC1" s="110"/>
      <c r="AMD1" s="110"/>
      <c r="AME1" s="110"/>
      <c r="AMF1" s="110"/>
      <c r="AMG1" s="110"/>
      <c r="AMH1" s="110"/>
      <c r="AMI1" s="110"/>
      <c r="AMJ1" s="110"/>
      <c r="AMK1" s="110"/>
      <c r="AML1" s="110"/>
      <c r="AMM1" s="110"/>
      <c r="AMN1" s="110"/>
      <c r="AMO1" s="110"/>
      <c r="AMP1" s="110"/>
      <c r="AMQ1" s="110"/>
      <c r="AMR1" s="110"/>
      <c r="AMS1" s="110"/>
      <c r="AMT1" s="110"/>
      <c r="AMU1" s="110"/>
      <c r="AMV1" s="110"/>
      <c r="AMW1" s="110"/>
      <c r="AMX1" s="110"/>
      <c r="AMY1" s="110"/>
      <c r="AMZ1" s="110"/>
      <c r="ANA1" s="110"/>
      <c r="ANB1" s="110"/>
      <c r="ANC1" s="110"/>
      <c r="AND1" s="110"/>
      <c r="ANE1" s="110"/>
      <c r="ANF1" s="110"/>
      <c r="ANG1" s="110"/>
      <c r="ANH1" s="110"/>
      <c r="ANI1" s="110"/>
      <c r="ANJ1" s="110"/>
      <c r="ANK1" s="110"/>
      <c r="ANL1" s="110"/>
      <c r="ANM1" s="110"/>
      <c r="ANN1" s="110"/>
      <c r="ANO1" s="110"/>
      <c r="ANP1" s="110"/>
      <c r="ANQ1" s="110"/>
      <c r="ANR1" s="110"/>
      <c r="ANS1" s="110"/>
      <c r="ANT1" s="110"/>
      <c r="ANU1" s="110"/>
      <c r="ANV1" s="110"/>
      <c r="ANW1" s="110"/>
      <c r="ANX1" s="110"/>
      <c r="ANY1" s="110"/>
      <c r="ANZ1" s="110"/>
      <c r="AOA1" s="110"/>
      <c r="AOB1" s="110"/>
      <c r="AOC1" s="110"/>
      <c r="AOD1" s="110"/>
      <c r="AOE1" s="110"/>
      <c r="AOF1" s="110"/>
      <c r="AOG1" s="110"/>
      <c r="AOH1" s="110"/>
      <c r="AOI1" s="110"/>
      <c r="AOJ1" s="110"/>
      <c r="AOK1" s="110"/>
      <c r="AOL1" s="110"/>
      <c r="AOM1" s="110"/>
      <c r="AON1" s="110"/>
      <c r="AOO1" s="110"/>
      <c r="AOP1" s="110"/>
      <c r="AOQ1" s="110"/>
      <c r="AOR1" s="110"/>
      <c r="AOS1" s="110"/>
      <c r="AOT1" s="110"/>
      <c r="AOU1" s="110"/>
      <c r="AOV1" s="110"/>
      <c r="AOW1" s="110"/>
      <c r="AOX1" s="110"/>
      <c r="AOY1" s="110"/>
      <c r="AOZ1" s="110"/>
      <c r="APA1" s="110"/>
      <c r="APB1" s="110"/>
      <c r="APC1" s="110"/>
      <c r="APD1" s="110"/>
      <c r="APE1" s="110"/>
      <c r="APF1" s="110"/>
      <c r="APG1" s="110"/>
      <c r="APH1" s="110"/>
      <c r="API1" s="110"/>
      <c r="APJ1" s="110"/>
      <c r="APK1" s="110"/>
      <c r="APL1" s="110"/>
      <c r="APM1" s="110"/>
      <c r="APN1" s="110"/>
      <c r="APO1" s="110"/>
      <c r="APP1" s="110"/>
      <c r="APQ1" s="110"/>
      <c r="APR1" s="110"/>
      <c r="APS1" s="110"/>
      <c r="APT1" s="110"/>
      <c r="APU1" s="110"/>
      <c r="APV1" s="110"/>
      <c r="APW1" s="110"/>
      <c r="APX1" s="110"/>
      <c r="APY1" s="110"/>
      <c r="APZ1" s="110"/>
      <c r="AQA1" s="110"/>
      <c r="AQB1" s="110"/>
      <c r="AQC1" s="110"/>
      <c r="AQD1" s="110"/>
      <c r="AQE1" s="110"/>
      <c r="AQF1" s="110"/>
      <c r="AQG1" s="110"/>
      <c r="AQH1" s="110"/>
      <c r="AQI1" s="110"/>
      <c r="AQJ1" s="110"/>
      <c r="AQK1" s="110"/>
      <c r="AQL1" s="110"/>
      <c r="AQM1" s="110"/>
      <c r="AQN1" s="110"/>
      <c r="AQO1" s="110"/>
      <c r="AQP1" s="110"/>
      <c r="AQQ1" s="110"/>
      <c r="AQR1" s="110"/>
      <c r="AQS1" s="110"/>
      <c r="AQT1" s="110"/>
      <c r="AQU1" s="110"/>
      <c r="AQV1" s="110"/>
      <c r="AQW1" s="110"/>
      <c r="AQX1" s="110"/>
      <c r="AQY1" s="110"/>
      <c r="AQZ1" s="110"/>
      <c r="ARA1" s="110"/>
      <c r="ARB1" s="110"/>
      <c r="ARC1" s="110"/>
      <c r="ARD1" s="110"/>
      <c r="ARE1" s="110"/>
      <c r="ARF1" s="110"/>
      <c r="ARG1" s="110"/>
      <c r="ARH1" s="110"/>
      <c r="ARI1" s="110"/>
      <c r="ARJ1" s="110"/>
      <c r="ARK1" s="110"/>
      <c r="ARL1" s="110"/>
      <c r="ARM1" s="110"/>
      <c r="ARN1" s="110"/>
      <c r="ARO1" s="110"/>
      <c r="ARP1" s="110"/>
      <c r="ARQ1" s="110"/>
      <c r="ARR1" s="110"/>
      <c r="ARS1" s="110"/>
      <c r="ART1" s="110"/>
      <c r="ARU1" s="110"/>
      <c r="ARV1" s="110"/>
      <c r="ARW1" s="110"/>
      <c r="ARX1" s="110"/>
      <c r="ARY1" s="110"/>
      <c r="ARZ1" s="110"/>
      <c r="ASA1" s="110"/>
      <c r="ASB1" s="110"/>
      <c r="ASC1" s="110"/>
      <c r="ASD1" s="110"/>
      <c r="ASE1" s="110"/>
      <c r="ASF1" s="110"/>
      <c r="ASG1" s="110"/>
      <c r="ASH1" s="110"/>
      <c r="ASI1" s="110"/>
      <c r="ASJ1" s="110"/>
      <c r="ASK1" s="110"/>
      <c r="ASL1" s="110"/>
      <c r="ASM1" s="110"/>
      <c r="ASN1" s="110"/>
      <c r="ASO1" s="110"/>
      <c r="ASP1" s="110"/>
      <c r="ASQ1" s="110"/>
      <c r="ASR1" s="110"/>
      <c r="ASS1" s="110"/>
      <c r="AST1" s="110"/>
      <c r="ASU1" s="110"/>
      <c r="ASV1" s="110"/>
      <c r="ASW1" s="110"/>
      <c r="ASX1" s="110"/>
      <c r="ASY1" s="110"/>
      <c r="ASZ1" s="110"/>
      <c r="ATA1" s="110"/>
      <c r="ATB1" s="110"/>
      <c r="ATC1" s="110"/>
      <c r="ATD1" s="110"/>
      <c r="ATE1" s="110"/>
      <c r="ATF1" s="110"/>
      <c r="ATG1" s="110"/>
      <c r="ATH1" s="110"/>
      <c r="ATI1" s="110"/>
      <c r="ATJ1" s="110"/>
      <c r="ATK1" s="110"/>
      <c r="ATL1" s="110"/>
      <c r="ATM1" s="110"/>
      <c r="ATN1" s="110"/>
      <c r="ATO1" s="110"/>
      <c r="ATP1" s="110"/>
      <c r="ATQ1" s="110"/>
      <c r="ATR1" s="110"/>
      <c r="ATS1" s="110"/>
      <c r="ATT1" s="110"/>
      <c r="ATU1" s="110"/>
      <c r="ATV1" s="110"/>
      <c r="ATW1" s="110"/>
      <c r="ATX1" s="110"/>
      <c r="ATY1" s="110"/>
      <c r="ATZ1" s="110"/>
      <c r="AUA1" s="110"/>
      <c r="AUB1" s="110"/>
      <c r="AUC1" s="110"/>
      <c r="AUD1" s="110"/>
      <c r="AUE1" s="110"/>
      <c r="AUF1" s="110"/>
      <c r="AUG1" s="110"/>
      <c r="AUH1" s="110"/>
      <c r="AUI1" s="110"/>
      <c r="AUJ1" s="110"/>
      <c r="AUK1" s="110"/>
      <c r="AUL1" s="110"/>
      <c r="AUM1" s="110"/>
      <c r="AUN1" s="110"/>
      <c r="AUO1" s="110"/>
      <c r="AUP1" s="110"/>
      <c r="AUQ1" s="110"/>
      <c r="AUR1" s="110"/>
      <c r="AUS1" s="110"/>
      <c r="AUT1" s="110"/>
      <c r="AUU1" s="110"/>
      <c r="AUV1" s="110"/>
      <c r="AUW1" s="110"/>
      <c r="AUX1" s="110"/>
      <c r="AUY1" s="110"/>
      <c r="AUZ1" s="110"/>
      <c r="AVA1" s="110"/>
      <c r="AVB1" s="110"/>
      <c r="AVC1" s="110"/>
      <c r="AVD1" s="110"/>
      <c r="AVE1" s="110"/>
      <c r="AVF1" s="110"/>
      <c r="AVG1" s="110"/>
      <c r="AVH1" s="110"/>
      <c r="AVI1" s="110"/>
      <c r="AVJ1" s="110"/>
      <c r="AVK1" s="110"/>
      <c r="AVL1" s="110"/>
      <c r="AVM1" s="110"/>
      <c r="AVN1" s="110"/>
      <c r="AVO1" s="110"/>
      <c r="AVP1" s="110"/>
      <c r="AVQ1" s="110"/>
      <c r="AVR1" s="110"/>
      <c r="AVS1" s="110"/>
      <c r="AVT1" s="110"/>
      <c r="AVU1" s="110"/>
      <c r="AVV1" s="110"/>
      <c r="AVW1" s="110"/>
      <c r="AVX1" s="110"/>
      <c r="AVY1" s="110"/>
      <c r="AVZ1" s="110"/>
      <c r="AWA1" s="110"/>
      <c r="AWB1" s="110"/>
      <c r="AWC1" s="110"/>
      <c r="AWD1" s="110"/>
      <c r="AWE1" s="110"/>
      <c r="AWF1" s="110"/>
      <c r="AWG1" s="110"/>
      <c r="AWH1" s="110"/>
      <c r="AWI1" s="110"/>
      <c r="AWJ1" s="110"/>
      <c r="AWK1" s="110"/>
      <c r="AWL1" s="110"/>
      <c r="AWM1" s="110"/>
      <c r="AWN1" s="110"/>
      <c r="AWO1" s="110"/>
      <c r="AWP1" s="110"/>
      <c r="AWQ1" s="110"/>
      <c r="AWR1" s="110"/>
      <c r="AWS1" s="110"/>
      <c r="AWT1" s="110"/>
      <c r="AWU1" s="110"/>
      <c r="AWV1" s="110"/>
      <c r="AWW1" s="110"/>
      <c r="AWX1" s="110"/>
      <c r="AWY1" s="110"/>
      <c r="AWZ1" s="110"/>
      <c r="AXA1" s="110"/>
      <c r="AXB1" s="110"/>
      <c r="AXC1" s="110"/>
      <c r="AXD1" s="110"/>
      <c r="AXE1" s="110"/>
      <c r="AXF1" s="110"/>
      <c r="AXG1" s="110"/>
      <c r="AXH1" s="110"/>
      <c r="AXI1" s="110"/>
      <c r="AXJ1" s="110"/>
      <c r="AXK1" s="110"/>
      <c r="AXL1" s="110"/>
      <c r="AXM1" s="110"/>
      <c r="AXN1" s="110"/>
      <c r="AXO1" s="110"/>
      <c r="AXP1" s="110"/>
      <c r="AXQ1" s="110"/>
      <c r="AXR1" s="110"/>
      <c r="AXS1" s="110"/>
      <c r="AXT1" s="110"/>
      <c r="AXU1" s="110"/>
      <c r="AXV1" s="110"/>
      <c r="AXW1" s="110"/>
      <c r="AXX1" s="110"/>
      <c r="AXY1" s="110"/>
      <c r="AXZ1" s="110"/>
      <c r="AYA1" s="110"/>
      <c r="AYB1" s="110"/>
      <c r="AYC1" s="110"/>
      <c r="AYD1" s="110"/>
      <c r="AYE1" s="110"/>
      <c r="AYF1" s="110"/>
      <c r="AYG1" s="110"/>
      <c r="AYH1" s="110"/>
      <c r="AYI1" s="110"/>
      <c r="AYJ1" s="110"/>
      <c r="AYK1" s="110"/>
      <c r="AYL1" s="110"/>
      <c r="AYM1" s="110"/>
      <c r="AYN1" s="110"/>
      <c r="AYO1" s="110"/>
      <c r="AYP1" s="110"/>
      <c r="AYQ1" s="110"/>
      <c r="AYR1" s="110"/>
      <c r="AYS1" s="110"/>
      <c r="AYT1" s="110"/>
      <c r="AYU1" s="110"/>
      <c r="AYV1" s="110"/>
      <c r="AYW1" s="110"/>
      <c r="AYX1" s="110"/>
      <c r="AYY1" s="110"/>
      <c r="AYZ1" s="110"/>
      <c r="AZA1" s="110"/>
      <c r="AZB1" s="110"/>
      <c r="AZC1" s="110"/>
      <c r="AZD1" s="110"/>
      <c r="AZE1" s="110"/>
      <c r="AZF1" s="110"/>
      <c r="AZG1" s="110"/>
      <c r="AZH1" s="110"/>
      <c r="AZI1" s="110"/>
      <c r="AZJ1" s="110"/>
      <c r="AZK1" s="110"/>
      <c r="AZL1" s="110"/>
      <c r="AZM1" s="110"/>
      <c r="AZN1" s="110"/>
      <c r="AZO1" s="110"/>
      <c r="AZP1" s="110"/>
      <c r="AZQ1" s="110"/>
      <c r="AZR1" s="110"/>
      <c r="AZS1" s="110"/>
      <c r="AZT1" s="110"/>
      <c r="AZU1" s="110"/>
      <c r="AZV1" s="110"/>
      <c r="AZW1" s="110"/>
      <c r="AZX1" s="110"/>
      <c r="AZY1" s="110"/>
      <c r="AZZ1" s="110"/>
      <c r="BAA1" s="110"/>
      <c r="BAB1" s="110"/>
      <c r="BAC1" s="110"/>
      <c r="BAD1" s="110"/>
      <c r="BAE1" s="110"/>
      <c r="BAF1" s="110"/>
      <c r="BAG1" s="110"/>
      <c r="BAH1" s="110"/>
      <c r="BAI1" s="110"/>
      <c r="BAJ1" s="110"/>
      <c r="BAK1" s="110"/>
      <c r="BAL1" s="110"/>
      <c r="BAM1" s="110"/>
      <c r="BAN1" s="110"/>
      <c r="BAO1" s="110"/>
      <c r="BAP1" s="110"/>
      <c r="BAQ1" s="110"/>
      <c r="BAR1" s="110"/>
      <c r="BAS1" s="110"/>
      <c r="BAT1" s="110"/>
      <c r="BAU1" s="110"/>
      <c r="BAV1" s="110"/>
      <c r="BAW1" s="110"/>
      <c r="BAX1" s="110"/>
      <c r="BAY1" s="110"/>
      <c r="BAZ1" s="110"/>
      <c r="BBA1" s="110"/>
      <c r="BBB1" s="110"/>
      <c r="BBC1" s="110"/>
      <c r="BBD1" s="110"/>
      <c r="BBE1" s="110"/>
      <c r="BBF1" s="110"/>
      <c r="BBG1" s="110"/>
      <c r="BBH1" s="110"/>
      <c r="BBI1" s="110"/>
      <c r="BBJ1" s="110"/>
      <c r="BBK1" s="110"/>
      <c r="BBL1" s="110"/>
      <c r="BBM1" s="110"/>
      <c r="BBN1" s="110"/>
      <c r="BBO1" s="110"/>
      <c r="BBP1" s="110"/>
      <c r="BBQ1" s="110"/>
      <c r="BBR1" s="110"/>
      <c r="BBS1" s="110"/>
      <c r="BBT1" s="110"/>
      <c r="BBU1" s="110"/>
      <c r="BBV1" s="110"/>
      <c r="BBW1" s="110"/>
      <c r="BBX1" s="110"/>
      <c r="BBY1" s="110"/>
      <c r="BBZ1" s="110"/>
      <c r="BCA1" s="110"/>
      <c r="BCB1" s="110"/>
      <c r="BCC1" s="110"/>
      <c r="BCD1" s="110"/>
      <c r="BCE1" s="110"/>
      <c r="BCF1" s="110"/>
      <c r="BCG1" s="110"/>
      <c r="BCH1" s="110"/>
      <c r="BCI1" s="110"/>
      <c r="BCJ1" s="110"/>
      <c r="BCK1" s="110"/>
      <c r="BCL1" s="110"/>
      <c r="BCM1" s="110"/>
      <c r="BCN1" s="110"/>
      <c r="BCO1" s="110"/>
      <c r="BCP1" s="110"/>
      <c r="BCQ1" s="110"/>
      <c r="BCR1" s="110"/>
      <c r="BCS1" s="110"/>
      <c r="BCT1" s="110"/>
      <c r="BCU1" s="110"/>
      <c r="BCV1" s="110"/>
      <c r="BCW1" s="110"/>
      <c r="BCX1" s="110"/>
      <c r="BCY1" s="110"/>
      <c r="BCZ1" s="110"/>
      <c r="BDA1" s="110"/>
      <c r="BDB1" s="110"/>
      <c r="BDC1" s="110"/>
      <c r="BDD1" s="110"/>
      <c r="BDE1" s="110"/>
      <c r="BDF1" s="110"/>
      <c r="BDG1" s="110"/>
      <c r="BDH1" s="110"/>
      <c r="BDI1" s="110"/>
      <c r="BDJ1" s="110"/>
      <c r="BDK1" s="110"/>
      <c r="BDL1" s="110"/>
      <c r="BDM1" s="110"/>
      <c r="BDN1" s="110"/>
      <c r="BDO1" s="110"/>
      <c r="BDP1" s="110"/>
      <c r="BDQ1" s="110"/>
      <c r="BDR1" s="110"/>
      <c r="BDS1" s="110"/>
      <c r="BDT1" s="110"/>
      <c r="BDU1" s="110"/>
      <c r="BDV1" s="110"/>
      <c r="BDW1" s="110"/>
      <c r="BDX1" s="110"/>
      <c r="BDY1" s="110"/>
      <c r="BDZ1" s="110"/>
      <c r="BEA1" s="110"/>
      <c r="BEB1" s="110"/>
      <c r="BEC1" s="110"/>
      <c r="BED1" s="110"/>
      <c r="BEE1" s="110"/>
      <c r="BEF1" s="110"/>
      <c r="BEG1" s="110"/>
      <c r="BEH1" s="110"/>
      <c r="BEI1" s="110"/>
      <c r="BEJ1" s="110"/>
      <c r="BEK1" s="110"/>
      <c r="BEL1" s="110"/>
      <c r="BEM1" s="110"/>
      <c r="BEN1" s="110"/>
      <c r="BEO1" s="110"/>
      <c r="BEP1" s="110"/>
      <c r="BEQ1" s="110"/>
      <c r="BER1" s="110"/>
      <c r="BES1" s="110"/>
      <c r="BET1" s="110"/>
      <c r="BEU1" s="110"/>
      <c r="BEV1" s="110"/>
      <c r="BEW1" s="110"/>
      <c r="BEX1" s="110"/>
      <c r="BEY1" s="110"/>
      <c r="BEZ1" s="110"/>
      <c r="BFA1" s="110"/>
      <c r="BFB1" s="110"/>
      <c r="BFC1" s="110"/>
      <c r="BFD1" s="110"/>
      <c r="BFE1" s="110"/>
      <c r="BFF1" s="110"/>
      <c r="BFG1" s="110"/>
      <c r="BFH1" s="110"/>
      <c r="BFI1" s="110"/>
      <c r="BFJ1" s="110"/>
      <c r="BFK1" s="110"/>
      <c r="BFL1" s="110"/>
      <c r="BFM1" s="110"/>
      <c r="BFN1" s="110"/>
      <c r="BFO1" s="110"/>
      <c r="BFP1" s="110"/>
      <c r="BFQ1" s="110"/>
      <c r="BFR1" s="110"/>
      <c r="BFS1" s="110"/>
      <c r="BFT1" s="110"/>
      <c r="BFU1" s="110"/>
      <c r="BFV1" s="110"/>
      <c r="BFW1" s="110"/>
      <c r="BFX1" s="110"/>
      <c r="BFY1" s="110"/>
      <c r="BFZ1" s="110"/>
      <c r="BGA1" s="110"/>
      <c r="BGB1" s="110"/>
      <c r="BGC1" s="110"/>
      <c r="BGD1" s="110"/>
      <c r="BGE1" s="110"/>
      <c r="BGF1" s="110"/>
      <c r="BGG1" s="110"/>
      <c r="BGH1" s="110"/>
      <c r="BGI1" s="110"/>
      <c r="BGJ1" s="110"/>
      <c r="BGK1" s="110"/>
      <c r="BGL1" s="110"/>
      <c r="BGM1" s="110"/>
      <c r="BGN1" s="110"/>
      <c r="BGO1" s="110"/>
      <c r="BGP1" s="110"/>
      <c r="BGQ1" s="110"/>
      <c r="BGR1" s="110"/>
      <c r="BGS1" s="110"/>
      <c r="BGT1" s="110"/>
      <c r="BGU1" s="110"/>
      <c r="BGV1" s="110"/>
      <c r="BGW1" s="110"/>
      <c r="BGX1" s="110"/>
      <c r="BGY1" s="110"/>
      <c r="BGZ1" s="110"/>
      <c r="BHA1" s="110"/>
      <c r="BHB1" s="110"/>
      <c r="BHC1" s="110"/>
      <c r="BHD1" s="110"/>
      <c r="BHE1" s="110"/>
      <c r="BHF1" s="110"/>
      <c r="BHG1" s="110"/>
      <c r="BHH1" s="110"/>
      <c r="BHI1" s="110"/>
      <c r="BHJ1" s="110"/>
      <c r="BHK1" s="110"/>
      <c r="BHL1" s="110"/>
      <c r="BHM1" s="110"/>
      <c r="BHN1" s="110"/>
      <c r="BHO1" s="110"/>
      <c r="BHP1" s="110"/>
      <c r="BHQ1" s="110"/>
      <c r="BHR1" s="110"/>
      <c r="BHS1" s="110"/>
      <c r="BHT1" s="110"/>
      <c r="BHU1" s="110"/>
      <c r="BHV1" s="110"/>
      <c r="BHW1" s="110"/>
      <c r="BHX1" s="110"/>
      <c r="BHY1" s="110"/>
      <c r="BHZ1" s="110"/>
      <c r="BIA1" s="110"/>
      <c r="BIB1" s="110"/>
      <c r="BIC1" s="110"/>
      <c r="BID1" s="110"/>
      <c r="BIE1" s="110"/>
      <c r="BIF1" s="110"/>
      <c r="BIG1" s="110"/>
      <c r="BIH1" s="110"/>
      <c r="BII1" s="110"/>
      <c r="BIJ1" s="110"/>
      <c r="BIK1" s="110"/>
      <c r="BIL1" s="110"/>
      <c r="BIM1" s="110"/>
      <c r="BIN1" s="110"/>
      <c r="BIO1" s="110"/>
      <c r="BIP1" s="110"/>
      <c r="BIQ1" s="110"/>
      <c r="BIR1" s="110"/>
      <c r="BIS1" s="110"/>
      <c r="BIT1" s="110"/>
      <c r="BIU1" s="110"/>
      <c r="BIV1" s="110"/>
      <c r="BIW1" s="110"/>
      <c r="BIX1" s="110"/>
      <c r="BIY1" s="110"/>
      <c r="BIZ1" s="110"/>
      <c r="BJA1" s="110"/>
      <c r="BJB1" s="110"/>
      <c r="BJC1" s="110"/>
      <c r="BJD1" s="110"/>
      <c r="BJE1" s="110"/>
      <c r="BJF1" s="110"/>
      <c r="BJG1" s="110"/>
      <c r="BJH1" s="110"/>
      <c r="BJI1" s="110"/>
      <c r="BJJ1" s="110"/>
      <c r="BJK1" s="110"/>
      <c r="BJL1" s="110"/>
      <c r="BJM1" s="110"/>
      <c r="BJN1" s="110"/>
      <c r="BJO1" s="110"/>
      <c r="BJP1" s="110"/>
      <c r="BJQ1" s="110"/>
      <c r="BJR1" s="110"/>
      <c r="BJS1" s="110"/>
      <c r="BJT1" s="110"/>
      <c r="BJU1" s="110"/>
      <c r="BJV1" s="110"/>
      <c r="BJW1" s="110"/>
      <c r="BJX1" s="110"/>
      <c r="BJY1" s="110"/>
      <c r="BJZ1" s="110"/>
      <c r="BKA1" s="110"/>
      <c r="BKB1" s="110"/>
      <c r="BKC1" s="110"/>
      <c r="BKD1" s="110"/>
      <c r="BKE1" s="110"/>
      <c r="BKF1" s="110"/>
      <c r="BKG1" s="110"/>
      <c r="BKH1" s="110"/>
      <c r="BKI1" s="110"/>
      <c r="BKJ1" s="110"/>
      <c r="BKK1" s="110"/>
      <c r="BKL1" s="110"/>
      <c r="BKM1" s="110"/>
      <c r="BKN1" s="110"/>
      <c r="BKO1" s="110"/>
      <c r="BKP1" s="110"/>
      <c r="BKQ1" s="110"/>
      <c r="BKR1" s="110"/>
      <c r="BKS1" s="110"/>
      <c r="BKT1" s="110"/>
      <c r="BKU1" s="110"/>
      <c r="BKV1" s="110"/>
      <c r="BKW1" s="110"/>
      <c r="BKX1" s="110"/>
      <c r="BKY1" s="110"/>
      <c r="BKZ1" s="110"/>
      <c r="BLA1" s="110"/>
      <c r="BLB1" s="110"/>
      <c r="BLC1" s="110"/>
      <c r="BLD1" s="110"/>
      <c r="BLE1" s="110"/>
      <c r="BLF1" s="110"/>
      <c r="BLG1" s="110"/>
      <c r="BLH1" s="110"/>
      <c r="BLI1" s="110"/>
      <c r="BLJ1" s="110"/>
      <c r="BLK1" s="110"/>
      <c r="BLL1" s="110"/>
      <c r="BLM1" s="110"/>
      <c r="BLN1" s="110"/>
      <c r="BLO1" s="110"/>
      <c r="BLP1" s="110"/>
      <c r="BLQ1" s="110"/>
      <c r="BLR1" s="110"/>
      <c r="BLS1" s="110"/>
      <c r="BLT1" s="110"/>
      <c r="BLU1" s="110"/>
      <c r="BLV1" s="110"/>
      <c r="BLW1" s="110"/>
      <c r="BLX1" s="110"/>
      <c r="BLY1" s="110"/>
      <c r="BLZ1" s="110"/>
      <c r="BMA1" s="110"/>
      <c r="BMB1" s="110"/>
      <c r="BMC1" s="110"/>
      <c r="BMD1" s="110"/>
      <c r="BME1" s="110"/>
      <c r="BMF1" s="110"/>
      <c r="BMG1" s="110"/>
      <c r="BMH1" s="110"/>
      <c r="BMI1" s="110"/>
      <c r="BMJ1" s="110"/>
      <c r="BMK1" s="110"/>
      <c r="BML1" s="110"/>
      <c r="BMM1" s="110"/>
      <c r="BMN1" s="110"/>
      <c r="BMO1" s="110"/>
      <c r="BMP1" s="110"/>
      <c r="BMQ1" s="110"/>
      <c r="BMR1" s="110"/>
      <c r="BMS1" s="110"/>
      <c r="BMT1" s="110"/>
      <c r="BMU1" s="110"/>
      <c r="BMV1" s="110"/>
      <c r="BMW1" s="110"/>
      <c r="BMX1" s="110"/>
      <c r="BMY1" s="110"/>
      <c r="BMZ1" s="110"/>
      <c r="BNA1" s="110"/>
      <c r="BNB1" s="110"/>
      <c r="BNC1" s="110"/>
      <c r="BND1" s="110"/>
      <c r="BNE1" s="110"/>
      <c r="BNF1" s="110"/>
      <c r="BNG1" s="110"/>
      <c r="BNH1" s="110"/>
      <c r="BNI1" s="110"/>
      <c r="BNJ1" s="110"/>
      <c r="BNK1" s="110"/>
      <c r="BNL1" s="110"/>
      <c r="BNM1" s="110"/>
      <c r="BNN1" s="110"/>
      <c r="BNO1" s="110"/>
      <c r="BNP1" s="110"/>
      <c r="BNQ1" s="110"/>
      <c r="BNR1" s="110"/>
      <c r="BNS1" s="110"/>
      <c r="BNT1" s="110"/>
      <c r="BNU1" s="110"/>
      <c r="BNV1" s="110"/>
      <c r="BNW1" s="110"/>
      <c r="BNX1" s="110"/>
      <c r="BNY1" s="110"/>
      <c r="BNZ1" s="110"/>
      <c r="BOA1" s="110"/>
      <c r="BOB1" s="110"/>
      <c r="BOC1" s="110"/>
      <c r="BOD1" s="110"/>
      <c r="BOE1" s="110"/>
      <c r="BOF1" s="110"/>
      <c r="BOG1" s="110"/>
      <c r="BOH1" s="110"/>
      <c r="BOI1" s="110"/>
      <c r="BOJ1" s="110"/>
      <c r="BOK1" s="110"/>
      <c r="BOL1" s="110"/>
      <c r="BOM1" s="110"/>
      <c r="BON1" s="110"/>
      <c r="BOO1" s="110"/>
      <c r="BOP1" s="110"/>
      <c r="BOQ1" s="110"/>
      <c r="BOR1" s="110"/>
      <c r="BOS1" s="110"/>
      <c r="BOT1" s="110"/>
      <c r="BOU1" s="110"/>
      <c r="BOV1" s="110"/>
      <c r="BOW1" s="110"/>
      <c r="BOX1" s="110"/>
      <c r="BOY1" s="110"/>
      <c r="BOZ1" s="110"/>
      <c r="BPA1" s="110"/>
      <c r="BPB1" s="110"/>
      <c r="BPC1" s="110"/>
      <c r="BPD1" s="110"/>
      <c r="BPE1" s="110"/>
      <c r="BPF1" s="110"/>
      <c r="BPG1" s="110"/>
      <c r="BPH1" s="110"/>
      <c r="BPI1" s="110"/>
      <c r="BPJ1" s="110"/>
      <c r="BPK1" s="110"/>
      <c r="BPL1" s="110"/>
      <c r="BPM1" s="110"/>
      <c r="BPN1" s="110"/>
      <c r="BPO1" s="110"/>
      <c r="BPP1" s="110"/>
      <c r="BPQ1" s="110"/>
      <c r="BPR1" s="110"/>
      <c r="BPS1" s="110"/>
      <c r="BPT1" s="110"/>
      <c r="BPU1" s="110"/>
      <c r="BPV1" s="110"/>
      <c r="BPW1" s="110"/>
      <c r="BPX1" s="110"/>
      <c r="BPY1" s="110"/>
      <c r="BPZ1" s="110"/>
      <c r="BQA1" s="110"/>
      <c r="BQB1" s="110"/>
      <c r="BQC1" s="110"/>
      <c r="BQD1" s="110"/>
      <c r="BQE1" s="110"/>
      <c r="BQF1" s="110"/>
      <c r="BQG1" s="110"/>
      <c r="BQH1" s="110"/>
      <c r="BQI1" s="110"/>
      <c r="BQJ1" s="110"/>
      <c r="BQK1" s="110"/>
      <c r="BQL1" s="110"/>
      <c r="BQM1" s="110"/>
      <c r="BQN1" s="110"/>
      <c r="BQO1" s="110"/>
      <c r="BQP1" s="110"/>
      <c r="BQQ1" s="110"/>
      <c r="BQR1" s="110"/>
      <c r="BQS1" s="110"/>
      <c r="BQT1" s="110"/>
      <c r="BQU1" s="110"/>
      <c r="BQV1" s="110"/>
      <c r="BQW1" s="110"/>
      <c r="BQX1" s="110"/>
      <c r="BQY1" s="110"/>
      <c r="BQZ1" s="110"/>
      <c r="BRA1" s="110"/>
      <c r="BRB1" s="110"/>
      <c r="BRC1" s="110"/>
      <c r="BRD1" s="110"/>
      <c r="BRE1" s="110"/>
      <c r="BRF1" s="110"/>
      <c r="BRG1" s="110"/>
      <c r="BRH1" s="110"/>
      <c r="BRI1" s="110"/>
      <c r="BRJ1" s="110"/>
      <c r="BRK1" s="110"/>
      <c r="BRL1" s="110"/>
      <c r="BRM1" s="110"/>
      <c r="BRN1" s="110"/>
      <c r="BRO1" s="110"/>
      <c r="BRP1" s="110"/>
      <c r="BRQ1" s="110"/>
      <c r="BRR1" s="110"/>
      <c r="BRS1" s="110"/>
      <c r="BRT1" s="110"/>
      <c r="BRU1" s="110"/>
      <c r="BRV1" s="110"/>
      <c r="BRW1" s="110"/>
      <c r="BRX1" s="110"/>
      <c r="BRY1" s="110"/>
      <c r="BRZ1" s="110"/>
      <c r="BSA1" s="110"/>
      <c r="BSB1" s="110"/>
      <c r="BSC1" s="110"/>
      <c r="BSD1" s="110"/>
      <c r="BSE1" s="110"/>
      <c r="BSF1" s="110"/>
      <c r="BSG1" s="110"/>
      <c r="BSH1" s="110"/>
      <c r="BSI1" s="110"/>
      <c r="BSJ1" s="110"/>
      <c r="BSK1" s="110"/>
      <c r="BSL1" s="110"/>
      <c r="BSM1" s="110"/>
      <c r="BSN1" s="110"/>
      <c r="BSO1" s="110"/>
      <c r="BSP1" s="110"/>
      <c r="BSQ1" s="110"/>
      <c r="BSR1" s="110"/>
      <c r="BSS1" s="110"/>
      <c r="BST1" s="110"/>
      <c r="BSU1" s="110"/>
      <c r="BSV1" s="110"/>
      <c r="BSW1" s="110"/>
      <c r="BSX1" s="110"/>
      <c r="BSY1" s="110"/>
      <c r="BSZ1" s="110"/>
      <c r="BTA1" s="110"/>
      <c r="BTB1" s="110"/>
      <c r="BTC1" s="110"/>
      <c r="BTD1" s="110"/>
      <c r="BTE1" s="110"/>
      <c r="BTF1" s="110"/>
      <c r="BTG1" s="110"/>
      <c r="BTH1" s="110"/>
      <c r="BTI1" s="110"/>
      <c r="BTJ1" s="110"/>
      <c r="BTK1" s="110"/>
      <c r="BTL1" s="110"/>
      <c r="BTM1" s="110"/>
      <c r="BTN1" s="110"/>
      <c r="BTO1" s="110"/>
      <c r="BTP1" s="110"/>
      <c r="BTQ1" s="110"/>
      <c r="BTR1" s="110"/>
      <c r="BTS1" s="110"/>
      <c r="BTT1" s="110"/>
      <c r="BTU1" s="110"/>
      <c r="BTV1" s="110"/>
      <c r="BTW1" s="110"/>
      <c r="BTX1" s="110"/>
      <c r="BTY1" s="110"/>
      <c r="BTZ1" s="110"/>
      <c r="BUA1" s="110"/>
      <c r="BUB1" s="110"/>
      <c r="BUC1" s="110"/>
      <c r="BUD1" s="110"/>
      <c r="BUE1" s="110"/>
      <c r="BUF1" s="110"/>
      <c r="BUG1" s="110"/>
      <c r="BUH1" s="110"/>
      <c r="BUI1" s="110"/>
      <c r="BUJ1" s="110"/>
      <c r="BUK1" s="110"/>
      <c r="BUL1" s="110"/>
      <c r="BUM1" s="110"/>
      <c r="BUN1" s="110"/>
      <c r="BUO1" s="110"/>
      <c r="BUP1" s="110"/>
      <c r="BUQ1" s="110"/>
      <c r="BUR1" s="110"/>
      <c r="BUS1" s="110"/>
      <c r="BUT1" s="110"/>
      <c r="BUU1" s="110"/>
      <c r="BUV1" s="110"/>
      <c r="BUW1" s="110"/>
      <c r="BUX1" s="110"/>
      <c r="BUY1" s="110"/>
      <c r="BUZ1" s="110"/>
      <c r="BVA1" s="110"/>
      <c r="BVB1" s="110"/>
      <c r="BVC1" s="110"/>
      <c r="BVD1" s="110"/>
      <c r="BVE1" s="110"/>
      <c r="BVF1" s="110"/>
      <c r="BVG1" s="110"/>
      <c r="BVH1" s="110"/>
      <c r="BVI1" s="110"/>
      <c r="BVJ1" s="110"/>
      <c r="BVK1" s="110"/>
      <c r="BVL1" s="110"/>
      <c r="BVM1" s="110"/>
      <c r="BVN1" s="110"/>
      <c r="BVO1" s="110"/>
      <c r="BVP1" s="110"/>
      <c r="BVQ1" s="110"/>
      <c r="BVR1" s="110"/>
      <c r="BVS1" s="110"/>
      <c r="BVT1" s="110"/>
      <c r="BVU1" s="110"/>
      <c r="BVV1" s="110"/>
      <c r="BVW1" s="110"/>
      <c r="BVX1" s="110"/>
      <c r="BVY1" s="110"/>
      <c r="BVZ1" s="110"/>
      <c r="BWA1" s="110"/>
      <c r="BWB1" s="110"/>
      <c r="BWC1" s="110"/>
      <c r="BWD1" s="110"/>
      <c r="BWE1" s="110"/>
      <c r="BWF1" s="110"/>
      <c r="BWG1" s="110"/>
      <c r="BWH1" s="110"/>
      <c r="BWI1" s="110"/>
      <c r="BWJ1" s="110"/>
      <c r="BWK1" s="110"/>
      <c r="BWL1" s="110"/>
      <c r="BWM1" s="110"/>
      <c r="BWN1" s="110"/>
      <c r="BWO1" s="110"/>
      <c r="BWP1" s="110"/>
      <c r="BWQ1" s="110"/>
      <c r="BWR1" s="110"/>
      <c r="BWS1" s="110"/>
      <c r="BWT1" s="110"/>
      <c r="BWU1" s="110"/>
      <c r="BWV1" s="110"/>
      <c r="BWW1" s="110"/>
      <c r="BWX1" s="110"/>
      <c r="BWY1" s="110"/>
      <c r="BWZ1" s="110"/>
      <c r="BXA1" s="110"/>
      <c r="BXB1" s="110"/>
      <c r="BXC1" s="110"/>
      <c r="BXD1" s="110"/>
      <c r="BXE1" s="110"/>
      <c r="BXF1" s="110"/>
      <c r="BXG1" s="110"/>
      <c r="BXH1" s="110"/>
      <c r="BXI1" s="110"/>
      <c r="BXJ1" s="110"/>
      <c r="BXK1" s="110"/>
      <c r="BXL1" s="110"/>
      <c r="BXM1" s="110"/>
      <c r="BXN1" s="110"/>
      <c r="BXO1" s="110"/>
      <c r="BXP1" s="110"/>
      <c r="BXQ1" s="110"/>
      <c r="BXR1" s="110"/>
      <c r="BXS1" s="110"/>
      <c r="BXT1" s="110"/>
      <c r="BXU1" s="110"/>
      <c r="BXV1" s="110"/>
      <c r="BXW1" s="110"/>
      <c r="BXX1" s="110"/>
      <c r="BXY1" s="110"/>
      <c r="BXZ1" s="110"/>
      <c r="BYA1" s="110"/>
      <c r="BYB1" s="110"/>
      <c r="BYC1" s="110"/>
      <c r="BYD1" s="110"/>
      <c r="BYE1" s="110"/>
      <c r="BYF1" s="110"/>
      <c r="BYG1" s="110"/>
      <c r="BYH1" s="110"/>
      <c r="BYI1" s="110"/>
      <c r="BYJ1" s="110"/>
      <c r="BYK1" s="110"/>
      <c r="BYL1" s="110"/>
      <c r="BYM1" s="110"/>
      <c r="BYN1" s="110"/>
      <c r="BYO1" s="110"/>
      <c r="BYP1" s="110"/>
      <c r="BYQ1" s="110"/>
      <c r="BYR1" s="110"/>
      <c r="BYS1" s="110"/>
      <c r="BYT1" s="110"/>
      <c r="BYU1" s="110"/>
      <c r="BYV1" s="110"/>
      <c r="BYW1" s="110"/>
      <c r="BYX1" s="110"/>
      <c r="BYY1" s="110"/>
      <c r="BYZ1" s="110"/>
      <c r="BZA1" s="110"/>
      <c r="BZB1" s="110"/>
      <c r="BZC1" s="110"/>
      <c r="BZD1" s="110"/>
      <c r="BZE1" s="110"/>
      <c r="BZF1" s="110"/>
      <c r="BZG1" s="110"/>
      <c r="BZH1" s="110"/>
      <c r="BZI1" s="110"/>
      <c r="BZJ1" s="110"/>
      <c r="BZK1" s="110"/>
      <c r="BZL1" s="110"/>
      <c r="BZM1" s="110"/>
      <c r="BZN1" s="110"/>
      <c r="BZO1" s="110"/>
      <c r="BZP1" s="110"/>
      <c r="BZQ1" s="110"/>
      <c r="BZR1" s="110"/>
      <c r="BZS1" s="110"/>
      <c r="BZT1" s="110"/>
      <c r="BZU1" s="110"/>
      <c r="BZV1" s="110"/>
      <c r="BZW1" s="110"/>
      <c r="BZX1" s="110"/>
      <c r="BZY1" s="110"/>
      <c r="BZZ1" s="110"/>
      <c r="CAA1" s="110"/>
      <c r="CAB1" s="110"/>
      <c r="CAC1" s="110"/>
      <c r="CAD1" s="110"/>
      <c r="CAE1" s="110"/>
      <c r="CAF1" s="110"/>
      <c r="CAG1" s="110"/>
      <c r="CAH1" s="110"/>
      <c r="CAI1" s="110"/>
      <c r="CAJ1" s="110"/>
      <c r="CAK1" s="110"/>
      <c r="CAL1" s="110"/>
      <c r="CAM1" s="110"/>
      <c r="CAN1" s="110"/>
      <c r="CAO1" s="110"/>
      <c r="CAP1" s="110"/>
      <c r="CAQ1" s="110"/>
      <c r="CAR1" s="110"/>
      <c r="CAS1" s="110"/>
      <c r="CAT1" s="110"/>
      <c r="CAU1" s="110"/>
      <c r="CAV1" s="110"/>
      <c r="CAW1" s="110"/>
      <c r="CAX1" s="110"/>
      <c r="CAY1" s="110"/>
      <c r="CAZ1" s="110"/>
      <c r="CBA1" s="110"/>
      <c r="CBB1" s="110"/>
      <c r="CBC1" s="110"/>
      <c r="CBD1" s="110"/>
      <c r="CBE1" s="110"/>
      <c r="CBF1" s="110"/>
      <c r="CBG1" s="110"/>
      <c r="CBH1" s="110"/>
      <c r="CBI1" s="110"/>
      <c r="CBJ1" s="110"/>
      <c r="CBK1" s="110"/>
      <c r="CBL1" s="110"/>
      <c r="CBM1" s="110"/>
      <c r="CBN1" s="110"/>
      <c r="CBO1" s="110"/>
      <c r="CBP1" s="110"/>
      <c r="CBQ1" s="110"/>
      <c r="CBR1" s="110"/>
      <c r="CBS1" s="110"/>
      <c r="CBT1" s="110"/>
      <c r="CBU1" s="110"/>
      <c r="CBV1" s="110"/>
      <c r="CBW1" s="110"/>
      <c r="CBX1" s="110"/>
      <c r="CBY1" s="110"/>
      <c r="CBZ1" s="110"/>
      <c r="CCA1" s="110"/>
      <c r="CCB1" s="110"/>
      <c r="CCC1" s="110"/>
      <c r="CCD1" s="110"/>
      <c r="CCE1" s="110"/>
      <c r="CCF1" s="110"/>
      <c r="CCG1" s="110"/>
      <c r="CCH1" s="110"/>
      <c r="CCI1" s="110"/>
      <c r="CCJ1" s="110"/>
      <c r="CCK1" s="110"/>
      <c r="CCL1" s="110"/>
      <c r="CCM1" s="110"/>
      <c r="CCN1" s="110"/>
      <c r="CCO1" s="110"/>
      <c r="CCP1" s="110"/>
      <c r="CCQ1" s="110"/>
      <c r="CCR1" s="110"/>
      <c r="CCS1" s="110"/>
      <c r="CCT1" s="110"/>
      <c r="CCU1" s="110"/>
      <c r="CCV1" s="110"/>
      <c r="CCW1" s="110"/>
      <c r="CCX1" s="110"/>
      <c r="CCY1" s="110"/>
      <c r="CCZ1" s="110"/>
      <c r="CDA1" s="110"/>
      <c r="CDB1" s="110"/>
      <c r="CDC1" s="110"/>
      <c r="CDD1" s="110"/>
      <c r="CDE1" s="110"/>
      <c r="CDF1" s="110"/>
      <c r="CDG1" s="110"/>
      <c r="CDH1" s="110"/>
      <c r="CDI1" s="110"/>
      <c r="CDJ1" s="110"/>
      <c r="CDK1" s="110"/>
      <c r="CDL1" s="110"/>
      <c r="CDM1" s="110"/>
      <c r="CDN1" s="110"/>
      <c r="CDO1" s="110"/>
      <c r="CDP1" s="110"/>
      <c r="CDQ1" s="110"/>
      <c r="CDR1" s="110"/>
      <c r="CDS1" s="110"/>
      <c r="CDT1" s="110"/>
      <c r="CDU1" s="110"/>
      <c r="CDV1" s="110"/>
      <c r="CDW1" s="110"/>
      <c r="CDX1" s="110"/>
      <c r="CDY1" s="110"/>
      <c r="CDZ1" s="110"/>
      <c r="CEA1" s="110"/>
      <c r="CEB1" s="110"/>
      <c r="CEC1" s="110"/>
      <c r="CED1" s="110"/>
      <c r="CEE1" s="110"/>
      <c r="CEF1" s="110"/>
      <c r="CEG1" s="110"/>
      <c r="CEH1" s="110"/>
      <c r="CEI1" s="110"/>
      <c r="CEJ1" s="110"/>
      <c r="CEK1" s="110"/>
      <c r="CEL1" s="110"/>
      <c r="CEM1" s="110"/>
      <c r="CEN1" s="110"/>
      <c r="CEO1" s="110"/>
      <c r="CEP1" s="110"/>
      <c r="CEQ1" s="110"/>
      <c r="CER1" s="110"/>
      <c r="CES1" s="110"/>
      <c r="CET1" s="110"/>
      <c r="CEU1" s="110"/>
      <c r="CEV1" s="110"/>
      <c r="CEW1" s="110"/>
      <c r="CEX1" s="110"/>
      <c r="CEY1" s="110"/>
      <c r="CEZ1" s="110"/>
      <c r="CFA1" s="110"/>
      <c r="CFB1" s="110"/>
      <c r="CFC1" s="110"/>
      <c r="CFD1" s="110"/>
      <c r="CFE1" s="110"/>
      <c r="CFF1" s="110"/>
      <c r="CFG1" s="110"/>
      <c r="CFH1" s="110"/>
      <c r="CFI1" s="110"/>
      <c r="CFJ1" s="110"/>
      <c r="CFK1" s="110"/>
      <c r="CFL1" s="110"/>
      <c r="CFM1" s="110"/>
      <c r="CFN1" s="110"/>
      <c r="CFO1" s="110"/>
      <c r="CFP1" s="110"/>
      <c r="CFQ1" s="110"/>
      <c r="CFR1" s="110"/>
      <c r="CFS1" s="110"/>
      <c r="CFT1" s="110"/>
      <c r="CFU1" s="110"/>
      <c r="CFV1" s="110"/>
      <c r="CFW1" s="110"/>
      <c r="CFX1" s="110"/>
      <c r="CFY1" s="110"/>
      <c r="CFZ1" s="110"/>
      <c r="CGA1" s="110"/>
      <c r="CGB1" s="110"/>
      <c r="CGC1" s="110"/>
      <c r="CGD1" s="110"/>
      <c r="CGE1" s="110"/>
      <c r="CGF1" s="110"/>
      <c r="CGG1" s="110"/>
      <c r="CGH1" s="110"/>
      <c r="CGI1" s="110"/>
      <c r="CGJ1" s="110"/>
      <c r="CGK1" s="110"/>
      <c r="CGL1" s="110"/>
      <c r="CGM1" s="110"/>
      <c r="CGN1" s="110"/>
      <c r="CGO1" s="110"/>
      <c r="CGP1" s="110"/>
      <c r="CGQ1" s="110"/>
      <c r="CGR1" s="110"/>
      <c r="CGS1" s="110"/>
      <c r="CGT1" s="110"/>
      <c r="CGU1" s="110"/>
      <c r="CGV1" s="110"/>
      <c r="CGW1" s="110"/>
      <c r="CGX1" s="110"/>
      <c r="CGY1" s="110"/>
      <c r="CGZ1" s="110"/>
      <c r="CHA1" s="110"/>
      <c r="CHB1" s="110"/>
      <c r="CHC1" s="110"/>
      <c r="CHD1" s="110"/>
      <c r="CHE1" s="110"/>
      <c r="CHF1" s="110"/>
      <c r="CHG1" s="110"/>
      <c r="CHH1" s="110"/>
      <c r="CHI1" s="110"/>
      <c r="CHJ1" s="110"/>
      <c r="CHK1" s="110"/>
      <c r="CHL1" s="110"/>
      <c r="CHM1" s="110"/>
      <c r="CHN1" s="110"/>
      <c r="CHO1" s="110"/>
      <c r="CHP1" s="110"/>
      <c r="CHQ1" s="110"/>
      <c r="CHR1" s="110"/>
      <c r="CHS1" s="110"/>
      <c r="CHT1" s="110"/>
      <c r="CHU1" s="110"/>
      <c r="CHV1" s="110"/>
      <c r="CHW1" s="110"/>
      <c r="CHX1" s="110"/>
      <c r="CHY1" s="110"/>
      <c r="CHZ1" s="110"/>
      <c r="CIA1" s="110"/>
      <c r="CIB1" s="110"/>
      <c r="CIC1" s="110"/>
      <c r="CID1" s="110"/>
      <c r="CIE1" s="110"/>
      <c r="CIF1" s="110"/>
      <c r="CIG1" s="110"/>
      <c r="CIH1" s="110"/>
      <c r="CII1" s="110"/>
      <c r="CIJ1" s="110"/>
      <c r="CIK1" s="110"/>
      <c r="CIL1" s="110"/>
      <c r="CIM1" s="110"/>
      <c r="CIN1" s="110"/>
      <c r="CIO1" s="110"/>
      <c r="CIP1" s="110"/>
      <c r="CIQ1" s="110"/>
      <c r="CIR1" s="110"/>
      <c r="CIS1" s="110"/>
      <c r="CIT1" s="110"/>
      <c r="CIU1" s="110"/>
      <c r="CIV1" s="110"/>
      <c r="CIW1" s="110"/>
      <c r="CIX1" s="110"/>
      <c r="CIY1" s="110"/>
      <c r="CIZ1" s="110"/>
      <c r="CJA1" s="110"/>
      <c r="CJB1" s="110"/>
      <c r="CJC1" s="110"/>
      <c r="CJD1" s="110"/>
      <c r="CJE1" s="110"/>
      <c r="CJF1" s="110"/>
      <c r="CJG1" s="110"/>
      <c r="CJH1" s="110"/>
      <c r="CJI1" s="110"/>
      <c r="CJJ1" s="110"/>
      <c r="CJK1" s="110"/>
      <c r="CJL1" s="110"/>
      <c r="CJM1" s="110"/>
      <c r="CJN1" s="110"/>
      <c r="CJO1" s="110"/>
      <c r="CJP1" s="110"/>
      <c r="CJQ1" s="110"/>
      <c r="CJR1" s="110"/>
      <c r="CJS1" s="110"/>
      <c r="CJT1" s="110"/>
      <c r="CJU1" s="110"/>
      <c r="CJV1" s="110"/>
      <c r="CJW1" s="110"/>
      <c r="CJX1" s="110"/>
      <c r="CJY1" s="110"/>
      <c r="CJZ1" s="110"/>
      <c r="CKA1" s="110"/>
      <c r="CKB1" s="110"/>
      <c r="CKC1" s="110"/>
      <c r="CKD1" s="110"/>
      <c r="CKE1" s="110"/>
      <c r="CKF1" s="110"/>
      <c r="CKG1" s="110"/>
      <c r="CKH1" s="110"/>
      <c r="CKI1" s="110"/>
      <c r="CKJ1" s="110"/>
      <c r="CKK1" s="110"/>
      <c r="CKL1" s="110"/>
      <c r="CKM1" s="110"/>
      <c r="CKN1" s="110"/>
      <c r="CKO1" s="110"/>
      <c r="CKP1" s="110"/>
      <c r="CKQ1" s="110"/>
      <c r="CKR1" s="110"/>
      <c r="CKS1" s="110"/>
      <c r="CKT1" s="110"/>
      <c r="CKU1" s="110"/>
      <c r="CKV1" s="110"/>
      <c r="CKW1" s="110"/>
      <c r="CKX1" s="110"/>
      <c r="CKY1" s="110"/>
      <c r="CKZ1" s="110"/>
      <c r="CLA1" s="110"/>
      <c r="CLB1" s="110"/>
      <c r="CLC1" s="110"/>
      <c r="CLD1" s="110"/>
      <c r="CLE1" s="110"/>
      <c r="CLF1" s="110"/>
      <c r="CLG1" s="110"/>
      <c r="CLH1" s="110"/>
      <c r="CLI1" s="110"/>
      <c r="CLJ1" s="110"/>
      <c r="CLK1" s="110"/>
      <c r="CLL1" s="110"/>
      <c r="CLM1" s="110"/>
      <c r="CLN1" s="110"/>
      <c r="CLO1" s="110"/>
      <c r="CLP1" s="110"/>
      <c r="CLQ1" s="110"/>
      <c r="CLR1" s="110"/>
      <c r="CLS1" s="110"/>
      <c r="CLT1" s="110"/>
      <c r="CLU1" s="110"/>
      <c r="CLV1" s="110"/>
      <c r="CLW1" s="110"/>
      <c r="CLX1" s="110"/>
      <c r="CLY1" s="110"/>
      <c r="CLZ1" s="110"/>
      <c r="CMA1" s="110"/>
      <c r="CMB1" s="110"/>
      <c r="CMC1" s="110"/>
      <c r="CMD1" s="110"/>
      <c r="CME1" s="110"/>
      <c r="CMF1" s="110"/>
      <c r="CMG1" s="110"/>
      <c r="CMH1" s="110"/>
      <c r="CMI1" s="110"/>
      <c r="CMJ1" s="110"/>
      <c r="CMK1" s="110"/>
      <c r="CML1" s="110"/>
      <c r="CMM1" s="110"/>
      <c r="CMN1" s="110"/>
      <c r="CMO1" s="110"/>
      <c r="CMP1" s="110"/>
      <c r="CMQ1" s="110"/>
      <c r="CMR1" s="110"/>
      <c r="CMS1" s="110"/>
      <c r="CMT1" s="110"/>
      <c r="CMU1" s="110"/>
      <c r="CMV1" s="110"/>
      <c r="CMW1" s="110"/>
      <c r="CMX1" s="110"/>
      <c r="CMY1" s="110"/>
      <c r="CMZ1" s="110"/>
      <c r="CNA1" s="110"/>
      <c r="CNB1" s="110"/>
      <c r="CNC1" s="110"/>
      <c r="CND1" s="110"/>
      <c r="CNE1" s="110"/>
      <c r="CNF1" s="110"/>
      <c r="CNG1" s="110"/>
      <c r="CNH1" s="110"/>
      <c r="CNI1" s="110"/>
      <c r="CNJ1" s="110"/>
      <c r="CNK1" s="110"/>
      <c r="CNL1" s="110"/>
      <c r="CNM1" s="110"/>
      <c r="CNN1" s="110"/>
      <c r="CNO1" s="110"/>
      <c r="CNP1" s="110"/>
      <c r="CNQ1" s="110"/>
      <c r="CNR1" s="110"/>
      <c r="CNS1" s="110"/>
      <c r="CNT1" s="110"/>
      <c r="CNU1" s="110"/>
      <c r="CNV1" s="110"/>
      <c r="CNW1" s="110"/>
      <c r="CNX1" s="110"/>
      <c r="CNY1" s="110"/>
      <c r="CNZ1" s="110"/>
      <c r="COA1" s="110"/>
      <c r="COB1" s="110"/>
      <c r="COC1" s="110"/>
      <c r="COD1" s="110"/>
      <c r="COE1" s="110"/>
      <c r="COF1" s="110"/>
      <c r="COG1" s="110"/>
      <c r="COH1" s="110"/>
      <c r="COI1" s="110"/>
      <c r="COJ1" s="110"/>
      <c r="COK1" s="110"/>
      <c r="COL1" s="110"/>
      <c r="COM1" s="110"/>
      <c r="CON1" s="110"/>
      <c r="COO1" s="110"/>
      <c r="COP1" s="110"/>
      <c r="COQ1" s="110"/>
      <c r="COR1" s="110"/>
      <c r="COS1" s="110"/>
      <c r="COT1" s="110"/>
      <c r="COU1" s="110"/>
      <c r="COV1" s="110"/>
      <c r="COW1" s="110"/>
      <c r="COX1" s="110"/>
      <c r="COY1" s="110"/>
      <c r="COZ1" s="110"/>
      <c r="CPA1" s="110"/>
      <c r="CPB1" s="110"/>
      <c r="CPC1" s="110"/>
      <c r="CPD1" s="110"/>
      <c r="CPE1" s="110"/>
      <c r="CPF1" s="110"/>
      <c r="CPG1" s="110"/>
      <c r="CPH1" s="110"/>
      <c r="CPI1" s="110"/>
      <c r="CPJ1" s="110"/>
      <c r="CPK1" s="110"/>
      <c r="CPL1" s="110"/>
      <c r="CPM1" s="110"/>
      <c r="CPN1" s="110"/>
      <c r="CPO1" s="110"/>
      <c r="CPP1" s="110"/>
      <c r="CPQ1" s="110"/>
      <c r="CPR1" s="110"/>
      <c r="CPS1" s="110"/>
      <c r="CPT1" s="110"/>
      <c r="CPU1" s="110"/>
      <c r="CPV1" s="110"/>
      <c r="CPW1" s="110"/>
      <c r="CPX1" s="110"/>
      <c r="CPY1" s="110"/>
      <c r="CPZ1" s="110"/>
      <c r="CQA1" s="110"/>
      <c r="CQB1" s="110"/>
      <c r="CQC1" s="110"/>
      <c r="CQD1" s="110"/>
      <c r="CQE1" s="110"/>
      <c r="CQF1" s="110"/>
      <c r="CQG1" s="110"/>
      <c r="CQH1" s="110"/>
      <c r="CQI1" s="110"/>
      <c r="CQJ1" s="110"/>
      <c r="CQK1" s="110"/>
      <c r="CQL1" s="110"/>
      <c r="CQM1" s="110"/>
      <c r="CQN1" s="110"/>
      <c r="CQO1" s="110"/>
      <c r="CQP1" s="110"/>
      <c r="CQQ1" s="110"/>
      <c r="CQR1" s="110"/>
      <c r="CQS1" s="110"/>
      <c r="CQT1" s="110"/>
      <c r="CQU1" s="110"/>
      <c r="CQV1" s="110"/>
      <c r="CQW1" s="110"/>
      <c r="CQX1" s="110"/>
      <c r="CQY1" s="110"/>
      <c r="CQZ1" s="110"/>
      <c r="CRA1" s="110"/>
      <c r="CRB1" s="110"/>
      <c r="CRC1" s="110"/>
      <c r="CRD1" s="110"/>
      <c r="CRE1" s="110"/>
      <c r="CRF1" s="110"/>
      <c r="CRG1" s="110"/>
      <c r="CRH1" s="110"/>
      <c r="CRI1" s="110"/>
      <c r="CRJ1" s="110"/>
      <c r="CRK1" s="110"/>
      <c r="CRL1" s="110"/>
      <c r="CRM1" s="110"/>
      <c r="CRN1" s="110"/>
      <c r="CRO1" s="110"/>
      <c r="CRP1" s="110"/>
      <c r="CRQ1" s="110"/>
      <c r="CRR1" s="110"/>
      <c r="CRS1" s="110"/>
      <c r="CRT1" s="110"/>
      <c r="CRU1" s="110"/>
      <c r="CRV1" s="110"/>
      <c r="CRW1" s="110"/>
      <c r="CRX1" s="110"/>
      <c r="CRY1" s="110"/>
      <c r="CRZ1" s="110"/>
      <c r="CSA1" s="110"/>
      <c r="CSB1" s="110"/>
      <c r="CSC1" s="110"/>
      <c r="CSD1" s="110"/>
      <c r="CSE1" s="110"/>
      <c r="CSF1" s="110"/>
      <c r="CSG1" s="110"/>
      <c r="CSH1" s="110"/>
      <c r="CSI1" s="110"/>
      <c r="CSJ1" s="110"/>
      <c r="CSK1" s="110"/>
      <c r="CSL1" s="110"/>
      <c r="CSM1" s="110"/>
      <c r="CSN1" s="110"/>
      <c r="CSO1" s="110"/>
      <c r="CSP1" s="110"/>
      <c r="CSQ1" s="110"/>
      <c r="CSR1" s="110"/>
      <c r="CSS1" s="110"/>
      <c r="CST1" s="110"/>
      <c r="CSU1" s="110"/>
      <c r="CSV1" s="110"/>
      <c r="CSW1" s="110"/>
      <c r="CSX1" s="110"/>
      <c r="CSY1" s="110"/>
      <c r="CSZ1" s="110"/>
      <c r="CTA1" s="110"/>
      <c r="CTB1" s="110"/>
      <c r="CTC1" s="110"/>
      <c r="CTD1" s="110"/>
      <c r="CTE1" s="110"/>
      <c r="CTF1" s="110"/>
      <c r="CTG1" s="110"/>
      <c r="CTH1" s="110"/>
      <c r="CTI1" s="110"/>
      <c r="CTJ1" s="110"/>
      <c r="CTK1" s="110"/>
      <c r="CTL1" s="110"/>
      <c r="CTM1" s="110"/>
      <c r="CTN1" s="110"/>
      <c r="CTO1" s="110"/>
      <c r="CTP1" s="110"/>
      <c r="CTQ1" s="110"/>
      <c r="CTR1" s="110"/>
      <c r="CTS1" s="110"/>
      <c r="CTT1" s="110"/>
      <c r="CTU1" s="110"/>
      <c r="CTV1" s="110"/>
      <c r="CTW1" s="110"/>
      <c r="CTX1" s="110"/>
      <c r="CTY1" s="110"/>
      <c r="CTZ1" s="110"/>
      <c r="CUA1" s="110"/>
      <c r="CUB1" s="110"/>
      <c r="CUC1" s="110"/>
      <c r="CUD1" s="110"/>
      <c r="CUE1" s="110"/>
      <c r="CUF1" s="110"/>
      <c r="CUG1" s="110"/>
      <c r="CUH1" s="110"/>
      <c r="CUI1" s="110"/>
      <c r="CUJ1" s="110"/>
      <c r="CUK1" s="110"/>
      <c r="CUL1" s="110"/>
      <c r="CUM1" s="110"/>
      <c r="CUN1" s="110"/>
      <c r="CUO1" s="110"/>
      <c r="CUP1" s="110"/>
      <c r="CUQ1" s="110"/>
      <c r="CUR1" s="110"/>
      <c r="CUS1" s="110"/>
      <c r="CUT1" s="110"/>
      <c r="CUU1" s="110"/>
      <c r="CUV1" s="110"/>
      <c r="CUW1" s="110"/>
      <c r="CUX1" s="110"/>
      <c r="CUY1" s="110"/>
      <c r="CUZ1" s="110"/>
      <c r="CVA1" s="110"/>
      <c r="CVB1" s="110"/>
      <c r="CVC1" s="110"/>
      <c r="CVD1" s="110"/>
      <c r="CVE1" s="110"/>
      <c r="CVF1" s="110"/>
      <c r="CVG1" s="110"/>
      <c r="CVH1" s="110"/>
      <c r="CVI1" s="110"/>
      <c r="CVJ1" s="110"/>
      <c r="CVK1" s="110"/>
      <c r="CVL1" s="110"/>
      <c r="CVM1" s="110"/>
      <c r="CVN1" s="110"/>
      <c r="CVO1" s="110"/>
      <c r="CVP1" s="110"/>
      <c r="CVQ1" s="110"/>
      <c r="CVR1" s="110"/>
      <c r="CVS1" s="110"/>
      <c r="CVT1" s="110"/>
      <c r="CVU1" s="110"/>
      <c r="CVV1" s="110"/>
      <c r="CVW1" s="110"/>
      <c r="CVX1" s="110"/>
      <c r="CVY1" s="110"/>
      <c r="CVZ1" s="110"/>
      <c r="CWA1" s="110"/>
      <c r="CWB1" s="110"/>
      <c r="CWC1" s="110"/>
      <c r="CWD1" s="110"/>
      <c r="CWE1" s="110"/>
      <c r="CWF1" s="110"/>
      <c r="CWG1" s="110"/>
      <c r="CWH1" s="110"/>
      <c r="CWI1" s="110"/>
      <c r="CWJ1" s="110"/>
      <c r="CWK1" s="110"/>
      <c r="CWL1" s="110"/>
      <c r="CWM1" s="110"/>
      <c r="CWN1" s="110"/>
      <c r="CWO1" s="110"/>
      <c r="CWP1" s="110"/>
      <c r="CWQ1" s="110"/>
      <c r="CWR1" s="110"/>
      <c r="CWS1" s="110"/>
      <c r="CWT1" s="110"/>
      <c r="CWU1" s="110"/>
      <c r="CWV1" s="110"/>
      <c r="CWW1" s="110"/>
      <c r="CWX1" s="110"/>
      <c r="CWY1" s="110"/>
      <c r="CWZ1" s="110"/>
      <c r="CXA1" s="110"/>
      <c r="CXB1" s="110"/>
      <c r="CXC1" s="110"/>
      <c r="CXD1" s="110"/>
      <c r="CXE1" s="110"/>
      <c r="CXF1" s="110"/>
      <c r="CXG1" s="110"/>
      <c r="CXH1" s="110"/>
      <c r="CXI1" s="110"/>
      <c r="CXJ1" s="110"/>
      <c r="CXK1" s="110"/>
      <c r="CXL1" s="110"/>
      <c r="CXM1" s="110"/>
      <c r="CXN1" s="110"/>
      <c r="CXO1" s="110"/>
      <c r="CXP1" s="110"/>
      <c r="CXQ1" s="110"/>
      <c r="CXR1" s="110"/>
      <c r="CXS1" s="110"/>
      <c r="CXT1" s="110"/>
      <c r="CXU1" s="110"/>
      <c r="CXV1" s="110"/>
      <c r="CXW1" s="110"/>
      <c r="CXX1" s="110"/>
      <c r="CXY1" s="110"/>
      <c r="CXZ1" s="110"/>
      <c r="CYA1" s="110"/>
      <c r="CYB1" s="110"/>
      <c r="CYC1" s="110"/>
      <c r="CYD1" s="110"/>
      <c r="CYE1" s="110"/>
      <c r="CYF1" s="110"/>
      <c r="CYG1" s="110"/>
      <c r="CYH1" s="110"/>
      <c r="CYI1" s="110"/>
      <c r="CYJ1" s="110"/>
      <c r="CYK1" s="110"/>
      <c r="CYL1" s="110"/>
      <c r="CYM1" s="110"/>
      <c r="CYN1" s="110"/>
      <c r="CYO1" s="110"/>
      <c r="CYP1" s="110"/>
      <c r="CYQ1" s="110"/>
      <c r="CYR1" s="110"/>
      <c r="CYS1" s="110"/>
      <c r="CYT1" s="110"/>
      <c r="CYU1" s="110"/>
      <c r="CYV1" s="110"/>
      <c r="CYW1" s="110"/>
      <c r="CYX1" s="110"/>
      <c r="CYY1" s="110"/>
      <c r="CYZ1" s="110"/>
      <c r="CZA1" s="110"/>
      <c r="CZB1" s="110"/>
      <c r="CZC1" s="110"/>
      <c r="CZD1" s="110"/>
      <c r="CZE1" s="110"/>
      <c r="CZF1" s="110"/>
      <c r="CZG1" s="110"/>
      <c r="CZH1" s="110"/>
      <c r="CZI1" s="110"/>
      <c r="CZJ1" s="110"/>
      <c r="CZK1" s="110"/>
      <c r="CZL1" s="110"/>
      <c r="CZM1" s="110"/>
      <c r="CZN1" s="110"/>
      <c r="CZO1" s="110"/>
      <c r="CZP1" s="110"/>
      <c r="CZQ1" s="110"/>
      <c r="CZR1" s="110"/>
      <c r="CZS1" s="110"/>
      <c r="CZT1" s="110"/>
      <c r="CZU1" s="110"/>
      <c r="CZV1" s="110"/>
      <c r="CZW1" s="110"/>
      <c r="CZX1" s="110"/>
      <c r="CZY1" s="110"/>
      <c r="CZZ1" s="110"/>
      <c r="DAA1" s="110"/>
      <c r="DAB1" s="110"/>
      <c r="DAC1" s="110"/>
      <c r="DAD1" s="110"/>
      <c r="DAE1" s="110"/>
      <c r="DAF1" s="110"/>
      <c r="DAG1" s="110"/>
      <c r="DAH1" s="110"/>
      <c r="DAI1" s="110"/>
      <c r="DAJ1" s="110"/>
      <c r="DAK1" s="110"/>
      <c r="DAL1" s="110"/>
      <c r="DAM1" s="110"/>
      <c r="DAN1" s="110"/>
      <c r="DAO1" s="110"/>
      <c r="DAP1" s="110"/>
      <c r="DAQ1" s="110"/>
      <c r="DAR1" s="110"/>
      <c r="DAS1" s="110"/>
      <c r="DAT1" s="110"/>
      <c r="DAU1" s="110"/>
      <c r="DAV1" s="110"/>
      <c r="DAW1" s="110"/>
      <c r="DAX1" s="110"/>
      <c r="DAY1" s="110"/>
      <c r="DAZ1" s="110"/>
      <c r="DBA1" s="110"/>
      <c r="DBB1" s="110"/>
      <c r="DBC1" s="110"/>
      <c r="DBD1" s="110"/>
      <c r="DBE1" s="110"/>
      <c r="DBF1" s="110"/>
      <c r="DBG1" s="110"/>
      <c r="DBH1" s="110"/>
      <c r="DBI1" s="110"/>
      <c r="DBJ1" s="110"/>
      <c r="DBK1" s="110"/>
      <c r="DBL1" s="110"/>
      <c r="DBM1" s="110"/>
      <c r="DBN1" s="110"/>
      <c r="DBO1" s="110"/>
      <c r="DBP1" s="110"/>
      <c r="DBQ1" s="110"/>
      <c r="DBR1" s="110"/>
      <c r="DBS1" s="110"/>
      <c r="DBT1" s="110"/>
      <c r="DBU1" s="110"/>
      <c r="DBV1" s="110"/>
      <c r="DBW1" s="110"/>
      <c r="DBX1" s="110"/>
      <c r="DBY1" s="110"/>
      <c r="DBZ1" s="110"/>
      <c r="DCA1" s="110"/>
      <c r="DCB1" s="110"/>
      <c r="DCC1" s="110"/>
      <c r="DCD1" s="110"/>
      <c r="DCE1" s="110"/>
      <c r="DCF1" s="110"/>
      <c r="DCG1" s="110"/>
      <c r="DCH1" s="110"/>
      <c r="DCI1" s="110"/>
      <c r="DCJ1" s="110"/>
      <c r="DCK1" s="110"/>
      <c r="DCL1" s="110"/>
      <c r="DCM1" s="110"/>
      <c r="DCN1" s="110"/>
      <c r="DCO1" s="110"/>
      <c r="DCP1" s="110"/>
      <c r="DCQ1" s="110"/>
      <c r="DCR1" s="110"/>
      <c r="DCS1" s="110"/>
      <c r="DCT1" s="110"/>
      <c r="DCU1" s="110"/>
      <c r="DCV1" s="110"/>
      <c r="DCW1" s="110"/>
      <c r="DCX1" s="110"/>
      <c r="DCY1" s="110"/>
      <c r="DCZ1" s="110"/>
      <c r="DDA1" s="110"/>
      <c r="DDB1" s="110"/>
      <c r="DDC1" s="110"/>
      <c r="DDD1" s="110"/>
      <c r="DDE1" s="110"/>
      <c r="DDF1" s="110"/>
      <c r="DDG1" s="110"/>
      <c r="DDH1" s="110"/>
      <c r="DDI1" s="110"/>
      <c r="DDJ1" s="110"/>
      <c r="DDK1" s="110"/>
      <c r="DDL1" s="110"/>
      <c r="DDM1" s="110"/>
      <c r="DDN1" s="110"/>
      <c r="DDO1" s="110"/>
      <c r="DDP1" s="110"/>
      <c r="DDQ1" s="110"/>
      <c r="DDR1" s="110"/>
      <c r="DDS1" s="110"/>
      <c r="DDT1" s="110"/>
      <c r="DDU1" s="110"/>
      <c r="DDV1" s="110"/>
      <c r="DDW1" s="110"/>
      <c r="DDX1" s="110"/>
      <c r="DDY1" s="110"/>
      <c r="DDZ1" s="110"/>
      <c r="DEA1" s="110"/>
      <c r="DEB1" s="110"/>
      <c r="DEC1" s="110"/>
      <c r="DED1" s="110"/>
      <c r="DEE1" s="110"/>
      <c r="DEF1" s="110"/>
      <c r="DEG1" s="110"/>
      <c r="DEH1" s="110"/>
      <c r="DEI1" s="110"/>
      <c r="DEJ1" s="110"/>
      <c r="DEK1" s="110"/>
      <c r="DEL1" s="110"/>
      <c r="DEM1" s="110"/>
      <c r="DEN1" s="110"/>
      <c r="DEO1" s="110"/>
      <c r="DEP1" s="110"/>
      <c r="DEQ1" s="110"/>
      <c r="DER1" s="110"/>
      <c r="DES1" s="110"/>
      <c r="DET1" s="110"/>
      <c r="DEU1" s="110"/>
      <c r="DEV1" s="110"/>
      <c r="DEW1" s="110"/>
      <c r="DEX1" s="110"/>
      <c r="DEY1" s="110"/>
      <c r="DEZ1" s="110"/>
      <c r="DFA1" s="110"/>
      <c r="DFB1" s="110"/>
      <c r="DFC1" s="110"/>
      <c r="DFD1" s="110"/>
      <c r="DFE1" s="110"/>
      <c r="DFF1" s="110"/>
      <c r="DFG1" s="110"/>
      <c r="DFH1" s="110"/>
      <c r="DFI1" s="110"/>
      <c r="DFJ1" s="110"/>
      <c r="DFK1" s="110"/>
      <c r="DFL1" s="110"/>
      <c r="DFM1" s="110"/>
      <c r="DFN1" s="110"/>
      <c r="DFO1" s="110"/>
      <c r="DFP1" s="110"/>
      <c r="DFQ1" s="110"/>
      <c r="DFR1" s="110"/>
      <c r="DFS1" s="110"/>
      <c r="DFT1" s="110"/>
      <c r="DFU1" s="110"/>
      <c r="DFV1" s="110"/>
      <c r="DFW1" s="110"/>
      <c r="DFX1" s="110"/>
      <c r="DFY1" s="110"/>
      <c r="DFZ1" s="110"/>
      <c r="DGA1" s="110"/>
      <c r="DGB1" s="110"/>
      <c r="DGC1" s="110"/>
      <c r="DGD1" s="110"/>
      <c r="DGE1" s="110"/>
      <c r="DGF1" s="110"/>
      <c r="DGG1" s="110"/>
      <c r="DGH1" s="110"/>
      <c r="DGI1" s="110"/>
      <c r="DGJ1" s="110"/>
      <c r="DGK1" s="110"/>
      <c r="DGL1" s="110"/>
      <c r="DGM1" s="110"/>
      <c r="DGN1" s="110"/>
      <c r="DGO1" s="110"/>
      <c r="DGP1" s="110"/>
      <c r="DGQ1" s="110"/>
      <c r="DGR1" s="110"/>
      <c r="DGS1" s="110"/>
      <c r="DGT1" s="110"/>
      <c r="DGU1" s="110"/>
      <c r="DGV1" s="110"/>
      <c r="DGW1" s="110"/>
      <c r="DGX1" s="110"/>
      <c r="DGY1" s="110"/>
      <c r="DGZ1" s="110"/>
      <c r="DHA1" s="110"/>
      <c r="DHB1" s="110"/>
      <c r="DHC1" s="110"/>
      <c r="DHD1" s="110"/>
      <c r="DHE1" s="110"/>
      <c r="DHF1" s="110"/>
      <c r="DHG1" s="110"/>
      <c r="DHH1" s="110"/>
      <c r="DHI1" s="110"/>
      <c r="DHJ1" s="110"/>
      <c r="DHK1" s="110"/>
      <c r="DHL1" s="110"/>
      <c r="DHM1" s="110"/>
      <c r="DHN1" s="110"/>
      <c r="DHO1" s="110"/>
      <c r="DHP1" s="110"/>
      <c r="DHQ1" s="110"/>
      <c r="DHR1" s="110"/>
      <c r="DHS1" s="110"/>
      <c r="DHT1" s="110"/>
      <c r="DHU1" s="110"/>
      <c r="DHV1" s="110"/>
      <c r="DHW1" s="110"/>
      <c r="DHX1" s="110"/>
      <c r="DHY1" s="110"/>
      <c r="DHZ1" s="110"/>
      <c r="DIA1" s="110"/>
      <c r="DIB1" s="110"/>
      <c r="DIC1" s="110"/>
      <c r="DID1" s="110"/>
      <c r="DIE1" s="110"/>
      <c r="DIF1" s="110"/>
      <c r="DIG1" s="110"/>
      <c r="DIH1" s="110"/>
      <c r="DII1" s="110"/>
      <c r="DIJ1" s="110"/>
      <c r="DIK1" s="110"/>
      <c r="DIL1" s="110"/>
      <c r="DIM1" s="110"/>
      <c r="DIN1" s="110"/>
      <c r="DIO1" s="110"/>
      <c r="DIP1" s="110"/>
      <c r="DIQ1" s="110"/>
      <c r="DIR1" s="110"/>
      <c r="DIS1" s="110"/>
      <c r="DIT1" s="110"/>
      <c r="DIU1" s="110"/>
      <c r="DIV1" s="110"/>
      <c r="DIW1" s="110"/>
      <c r="DIX1" s="110"/>
      <c r="DIY1" s="110"/>
      <c r="DIZ1" s="110"/>
      <c r="DJA1" s="110"/>
      <c r="DJB1" s="110"/>
      <c r="DJC1" s="110"/>
      <c r="DJD1" s="110"/>
      <c r="DJE1" s="110"/>
      <c r="DJF1" s="110"/>
      <c r="DJG1" s="110"/>
      <c r="DJH1" s="110"/>
      <c r="DJI1" s="110"/>
      <c r="DJJ1" s="110"/>
      <c r="DJK1" s="110"/>
      <c r="DJL1" s="110"/>
      <c r="DJM1" s="110"/>
      <c r="DJN1" s="110"/>
      <c r="DJO1" s="110"/>
      <c r="DJP1" s="110"/>
      <c r="DJQ1" s="110"/>
      <c r="DJR1" s="110"/>
      <c r="DJS1" s="110"/>
      <c r="DJT1" s="110"/>
      <c r="DJU1" s="110"/>
      <c r="DJV1" s="110"/>
      <c r="DJW1" s="110"/>
      <c r="DJX1" s="110"/>
      <c r="DJY1" s="110"/>
      <c r="DJZ1" s="110"/>
      <c r="DKA1" s="110"/>
      <c r="DKB1" s="110"/>
      <c r="DKC1" s="110"/>
      <c r="DKD1" s="110"/>
      <c r="DKE1" s="110"/>
      <c r="DKF1" s="110"/>
      <c r="DKG1" s="110"/>
      <c r="DKH1" s="110"/>
      <c r="DKI1" s="110"/>
      <c r="DKJ1" s="110"/>
      <c r="DKK1" s="110"/>
      <c r="DKL1" s="110"/>
      <c r="DKM1" s="110"/>
      <c r="DKN1" s="110"/>
      <c r="DKO1" s="110"/>
      <c r="DKP1" s="110"/>
      <c r="DKQ1" s="110"/>
      <c r="DKR1" s="110"/>
      <c r="DKS1" s="110"/>
      <c r="DKT1" s="110"/>
      <c r="DKU1" s="110"/>
      <c r="DKV1" s="110"/>
      <c r="DKW1" s="110"/>
      <c r="DKX1" s="110"/>
      <c r="DKY1" s="110"/>
      <c r="DKZ1" s="110"/>
      <c r="DLA1" s="110"/>
      <c r="DLB1" s="110"/>
      <c r="DLC1" s="110"/>
      <c r="DLD1" s="110"/>
      <c r="DLE1" s="110"/>
      <c r="DLF1" s="110"/>
      <c r="DLG1" s="110"/>
      <c r="DLH1" s="110"/>
      <c r="DLI1" s="110"/>
      <c r="DLJ1" s="110"/>
      <c r="DLK1" s="110"/>
      <c r="DLL1" s="110"/>
      <c r="DLM1" s="110"/>
      <c r="DLN1" s="110"/>
      <c r="DLO1" s="110"/>
      <c r="DLP1" s="110"/>
      <c r="DLQ1" s="110"/>
      <c r="DLR1" s="110"/>
      <c r="DLS1" s="110"/>
      <c r="DLT1" s="110"/>
      <c r="DLU1" s="110"/>
      <c r="DLV1" s="110"/>
      <c r="DLW1" s="110"/>
      <c r="DLX1" s="110"/>
      <c r="DLY1" s="110"/>
      <c r="DLZ1" s="110"/>
      <c r="DMA1" s="110"/>
      <c r="DMB1" s="110"/>
      <c r="DMC1" s="110"/>
      <c r="DMD1" s="110"/>
      <c r="DME1" s="110"/>
      <c r="DMF1" s="110"/>
      <c r="DMG1" s="110"/>
      <c r="DMH1" s="110"/>
      <c r="DMI1" s="110"/>
      <c r="DMJ1" s="110"/>
      <c r="DMK1" s="110"/>
      <c r="DML1" s="110"/>
      <c r="DMM1" s="110"/>
      <c r="DMN1" s="110"/>
      <c r="DMO1" s="110"/>
      <c r="DMP1" s="110"/>
      <c r="DMQ1" s="110"/>
      <c r="DMR1" s="110"/>
      <c r="DMS1" s="110"/>
      <c r="DMT1" s="110"/>
      <c r="DMU1" s="110"/>
      <c r="DMV1" s="110"/>
      <c r="DMW1" s="110"/>
      <c r="DMX1" s="110"/>
      <c r="DMY1" s="110"/>
      <c r="DMZ1" s="110"/>
      <c r="DNA1" s="110"/>
      <c r="DNB1" s="110"/>
      <c r="DNC1" s="110"/>
      <c r="DND1" s="110"/>
      <c r="DNE1" s="110"/>
      <c r="DNF1" s="110"/>
      <c r="DNG1" s="110"/>
      <c r="DNH1" s="110"/>
      <c r="DNI1" s="110"/>
      <c r="DNJ1" s="110"/>
      <c r="DNK1" s="110"/>
      <c r="DNL1" s="110"/>
      <c r="DNM1" s="110"/>
      <c r="DNN1" s="110"/>
      <c r="DNO1" s="110"/>
      <c r="DNP1" s="110"/>
      <c r="DNQ1" s="110"/>
      <c r="DNR1" s="110"/>
      <c r="DNS1" s="110"/>
      <c r="DNT1" s="110"/>
      <c r="DNU1" s="110"/>
      <c r="DNV1" s="110"/>
      <c r="DNW1" s="110"/>
      <c r="DNX1" s="110"/>
      <c r="DNY1" s="110"/>
      <c r="DNZ1" s="110"/>
      <c r="DOA1" s="110"/>
      <c r="DOB1" s="110"/>
      <c r="DOC1" s="110"/>
      <c r="DOD1" s="110"/>
      <c r="DOE1" s="110"/>
      <c r="DOF1" s="110"/>
      <c r="DOG1" s="110"/>
      <c r="DOH1" s="110"/>
      <c r="DOI1" s="110"/>
      <c r="DOJ1" s="110"/>
      <c r="DOK1" s="110"/>
      <c r="DOL1" s="110"/>
      <c r="DOM1" s="110"/>
      <c r="DON1" s="110"/>
      <c r="DOO1" s="110"/>
      <c r="DOP1" s="110"/>
      <c r="DOQ1" s="110"/>
      <c r="DOR1" s="110"/>
      <c r="DOS1" s="110"/>
      <c r="DOT1" s="110"/>
      <c r="DOU1" s="110"/>
      <c r="DOV1" s="110"/>
      <c r="DOW1" s="110"/>
      <c r="DOX1" s="110"/>
      <c r="DOY1" s="110"/>
      <c r="DOZ1" s="110"/>
      <c r="DPA1" s="110"/>
      <c r="DPB1" s="110"/>
      <c r="DPC1" s="110"/>
      <c r="DPD1" s="110"/>
      <c r="DPE1" s="110"/>
      <c r="DPF1" s="110"/>
      <c r="DPG1" s="110"/>
      <c r="DPH1" s="110"/>
      <c r="DPI1" s="110"/>
      <c r="DPJ1" s="110"/>
      <c r="DPK1" s="110"/>
      <c r="DPL1" s="110"/>
      <c r="DPM1" s="110"/>
      <c r="DPN1" s="110"/>
      <c r="DPO1" s="110"/>
      <c r="DPP1" s="110"/>
      <c r="DPQ1" s="110"/>
      <c r="DPR1" s="110"/>
      <c r="DPS1" s="110"/>
      <c r="DPT1" s="110"/>
      <c r="DPU1" s="110"/>
      <c r="DPV1" s="110"/>
      <c r="DPW1" s="110"/>
      <c r="DPX1" s="110"/>
      <c r="DPY1" s="110"/>
      <c r="DPZ1" s="110"/>
      <c r="DQA1" s="110"/>
      <c r="DQB1" s="110"/>
      <c r="DQC1" s="110"/>
      <c r="DQD1" s="110"/>
      <c r="DQE1" s="110"/>
      <c r="DQF1" s="110"/>
      <c r="DQG1" s="110"/>
      <c r="DQH1" s="110"/>
      <c r="DQI1" s="110"/>
      <c r="DQJ1" s="110"/>
      <c r="DQK1" s="110"/>
      <c r="DQL1" s="110"/>
      <c r="DQM1" s="110"/>
      <c r="DQN1" s="110"/>
      <c r="DQO1" s="110"/>
      <c r="DQP1" s="110"/>
      <c r="DQQ1" s="110"/>
      <c r="DQR1" s="110"/>
      <c r="DQS1" s="110"/>
      <c r="DQT1" s="110"/>
      <c r="DQU1" s="110"/>
      <c r="DQV1" s="110"/>
      <c r="DQW1" s="110"/>
      <c r="DQX1" s="110"/>
      <c r="DQY1" s="110"/>
      <c r="DQZ1" s="110"/>
      <c r="DRA1" s="110"/>
      <c r="DRB1" s="110"/>
      <c r="DRC1" s="110"/>
      <c r="DRD1" s="110"/>
      <c r="DRE1" s="110"/>
      <c r="DRF1" s="110"/>
      <c r="DRG1" s="110"/>
      <c r="DRH1" s="110"/>
      <c r="DRI1" s="110"/>
      <c r="DRJ1" s="110"/>
      <c r="DRK1" s="110"/>
      <c r="DRL1" s="110"/>
      <c r="DRM1" s="110"/>
      <c r="DRN1" s="110"/>
      <c r="DRO1" s="110"/>
      <c r="DRP1" s="110"/>
      <c r="DRQ1" s="110"/>
      <c r="DRR1" s="110"/>
      <c r="DRS1" s="110"/>
      <c r="DRT1" s="110"/>
      <c r="DRU1" s="110"/>
      <c r="DRV1" s="110"/>
      <c r="DRW1" s="110"/>
      <c r="DRX1" s="110"/>
      <c r="DRY1" s="110"/>
      <c r="DRZ1" s="110"/>
      <c r="DSA1" s="110"/>
      <c r="DSB1" s="110"/>
      <c r="DSC1" s="110"/>
      <c r="DSD1" s="110"/>
      <c r="DSE1" s="110"/>
      <c r="DSF1" s="110"/>
      <c r="DSG1" s="110"/>
      <c r="DSH1" s="110"/>
      <c r="DSI1" s="110"/>
      <c r="DSJ1" s="110"/>
      <c r="DSK1" s="110"/>
      <c r="DSL1" s="110"/>
      <c r="DSM1" s="110"/>
      <c r="DSN1" s="110"/>
      <c r="DSO1" s="110"/>
      <c r="DSP1" s="110"/>
      <c r="DSQ1" s="110"/>
      <c r="DSR1" s="110"/>
      <c r="DSS1" s="110"/>
      <c r="DST1" s="110"/>
      <c r="DSU1" s="110"/>
      <c r="DSV1" s="110"/>
      <c r="DSW1" s="110"/>
      <c r="DSX1" s="110"/>
      <c r="DSY1" s="110"/>
      <c r="DSZ1" s="110"/>
      <c r="DTA1" s="110"/>
      <c r="DTB1" s="110"/>
      <c r="DTC1" s="110"/>
      <c r="DTD1" s="110"/>
      <c r="DTE1" s="110"/>
      <c r="DTF1" s="110"/>
      <c r="DTG1" s="110"/>
      <c r="DTH1" s="110"/>
      <c r="DTI1" s="110"/>
      <c r="DTJ1" s="110"/>
      <c r="DTK1" s="110"/>
      <c r="DTL1" s="110"/>
      <c r="DTM1" s="110"/>
      <c r="DTN1" s="110"/>
      <c r="DTO1" s="110"/>
      <c r="DTP1" s="110"/>
      <c r="DTQ1" s="110"/>
      <c r="DTR1" s="110"/>
      <c r="DTS1" s="110"/>
      <c r="DTT1" s="110"/>
      <c r="DTU1" s="110"/>
      <c r="DTV1" s="110"/>
      <c r="DTW1" s="110"/>
      <c r="DTX1" s="110"/>
      <c r="DTY1" s="110"/>
      <c r="DTZ1" s="110"/>
      <c r="DUA1" s="110"/>
      <c r="DUB1" s="110"/>
      <c r="DUC1" s="110"/>
      <c r="DUD1" s="110"/>
      <c r="DUE1" s="110"/>
      <c r="DUF1" s="110"/>
      <c r="DUG1" s="110"/>
      <c r="DUH1" s="110"/>
      <c r="DUI1" s="110"/>
      <c r="DUJ1" s="110"/>
      <c r="DUK1" s="110"/>
      <c r="DUL1" s="110"/>
      <c r="DUM1" s="110"/>
      <c r="DUN1" s="110"/>
      <c r="DUO1" s="110"/>
      <c r="DUP1" s="110"/>
      <c r="DUQ1" s="110"/>
      <c r="DUR1" s="110"/>
      <c r="DUS1" s="110"/>
      <c r="DUT1" s="110"/>
      <c r="DUU1" s="110"/>
      <c r="DUV1" s="110"/>
      <c r="DUW1" s="110"/>
      <c r="DUX1" s="110"/>
      <c r="DUY1" s="110"/>
      <c r="DUZ1" s="110"/>
      <c r="DVA1" s="110"/>
      <c r="DVB1" s="110"/>
      <c r="DVC1" s="110"/>
      <c r="DVD1" s="110"/>
      <c r="DVE1" s="110"/>
      <c r="DVF1" s="110"/>
      <c r="DVG1" s="110"/>
      <c r="DVH1" s="110"/>
      <c r="DVI1" s="110"/>
      <c r="DVJ1" s="110"/>
      <c r="DVK1" s="110"/>
      <c r="DVL1" s="110"/>
      <c r="DVM1" s="110"/>
      <c r="DVN1" s="110"/>
      <c r="DVO1" s="110"/>
      <c r="DVP1" s="110"/>
      <c r="DVQ1" s="110"/>
      <c r="DVR1" s="110"/>
      <c r="DVS1" s="110"/>
      <c r="DVT1" s="110"/>
      <c r="DVU1" s="110"/>
      <c r="DVV1" s="110"/>
      <c r="DVW1" s="110"/>
      <c r="DVX1" s="110"/>
      <c r="DVY1" s="110"/>
      <c r="DVZ1" s="110"/>
      <c r="DWA1" s="110"/>
      <c r="DWB1" s="110"/>
      <c r="DWC1" s="110"/>
      <c r="DWD1" s="110"/>
      <c r="DWE1" s="110"/>
      <c r="DWF1" s="110"/>
      <c r="DWG1" s="110"/>
      <c r="DWH1" s="110"/>
      <c r="DWI1" s="110"/>
      <c r="DWJ1" s="110"/>
      <c r="DWK1" s="110"/>
      <c r="DWL1" s="110"/>
      <c r="DWM1" s="110"/>
      <c r="DWN1" s="110"/>
      <c r="DWO1" s="110"/>
      <c r="DWP1" s="110"/>
      <c r="DWQ1" s="110"/>
      <c r="DWR1" s="110"/>
      <c r="DWS1" s="110"/>
      <c r="DWT1" s="110"/>
      <c r="DWU1" s="110"/>
      <c r="DWV1" s="110"/>
      <c r="DWW1" s="110"/>
      <c r="DWX1" s="110"/>
      <c r="DWY1" s="110"/>
      <c r="DWZ1" s="110"/>
      <c r="DXA1" s="110"/>
      <c r="DXB1" s="110"/>
      <c r="DXC1" s="110"/>
      <c r="DXD1" s="110"/>
      <c r="DXE1" s="110"/>
      <c r="DXF1" s="110"/>
      <c r="DXG1" s="110"/>
      <c r="DXH1" s="110"/>
      <c r="DXI1" s="110"/>
      <c r="DXJ1" s="110"/>
      <c r="DXK1" s="110"/>
      <c r="DXL1" s="110"/>
      <c r="DXM1" s="110"/>
      <c r="DXN1" s="110"/>
      <c r="DXO1" s="110"/>
      <c r="DXP1" s="110"/>
      <c r="DXQ1" s="110"/>
      <c r="DXR1" s="110"/>
      <c r="DXS1" s="110"/>
      <c r="DXT1" s="110"/>
      <c r="DXU1" s="110"/>
      <c r="DXV1" s="110"/>
      <c r="DXW1" s="110"/>
      <c r="DXX1" s="110"/>
      <c r="DXY1" s="110"/>
      <c r="DXZ1" s="110"/>
      <c r="DYA1" s="110"/>
      <c r="DYB1" s="110"/>
      <c r="DYC1" s="110"/>
      <c r="DYD1" s="110"/>
      <c r="DYE1" s="110"/>
      <c r="DYF1" s="110"/>
      <c r="DYG1" s="110"/>
      <c r="DYH1" s="110"/>
      <c r="DYI1" s="110"/>
      <c r="DYJ1" s="110"/>
      <c r="DYK1" s="110"/>
      <c r="DYL1" s="110"/>
      <c r="DYM1" s="110"/>
      <c r="DYN1" s="110"/>
      <c r="DYO1" s="110"/>
      <c r="DYP1" s="110"/>
      <c r="DYQ1" s="110"/>
      <c r="DYR1" s="110"/>
      <c r="DYS1" s="110"/>
      <c r="DYT1" s="110"/>
      <c r="DYU1" s="110"/>
      <c r="DYV1" s="110"/>
      <c r="DYW1" s="110"/>
      <c r="DYX1" s="110"/>
      <c r="DYY1" s="110"/>
      <c r="DYZ1" s="110"/>
      <c r="DZA1" s="110"/>
      <c r="DZB1" s="110"/>
      <c r="DZC1" s="110"/>
      <c r="DZD1" s="110"/>
      <c r="DZE1" s="110"/>
      <c r="DZF1" s="110"/>
      <c r="DZG1" s="110"/>
      <c r="DZH1" s="110"/>
      <c r="DZI1" s="110"/>
      <c r="DZJ1" s="110"/>
      <c r="DZK1" s="110"/>
      <c r="DZL1" s="110"/>
      <c r="DZM1" s="110"/>
      <c r="DZN1" s="110"/>
      <c r="DZO1" s="110"/>
      <c r="DZP1" s="110"/>
      <c r="DZQ1" s="110"/>
      <c r="DZR1" s="110"/>
      <c r="DZS1" s="110"/>
      <c r="DZT1" s="110"/>
      <c r="DZU1" s="110"/>
      <c r="DZV1" s="110"/>
      <c r="DZW1" s="110"/>
      <c r="DZX1" s="110"/>
      <c r="DZY1" s="110"/>
      <c r="DZZ1" s="110"/>
      <c r="EAA1" s="110"/>
      <c r="EAB1" s="110"/>
      <c r="EAC1" s="110"/>
      <c r="EAD1" s="110"/>
      <c r="EAE1" s="110"/>
      <c r="EAF1" s="110"/>
      <c r="EAG1" s="110"/>
      <c r="EAH1" s="110"/>
      <c r="EAI1" s="110"/>
      <c r="EAJ1" s="110"/>
      <c r="EAK1" s="110"/>
      <c r="EAL1" s="110"/>
      <c r="EAM1" s="110"/>
      <c r="EAN1" s="110"/>
      <c r="EAO1" s="110"/>
      <c r="EAP1" s="110"/>
      <c r="EAQ1" s="110"/>
      <c r="EAR1" s="110"/>
      <c r="EAS1" s="110"/>
      <c r="EAT1" s="110"/>
      <c r="EAU1" s="110"/>
      <c r="EAV1" s="110"/>
      <c r="EAW1" s="110"/>
      <c r="EAX1" s="110"/>
      <c r="EAY1" s="110"/>
      <c r="EAZ1" s="110"/>
      <c r="EBA1" s="110"/>
      <c r="EBB1" s="110"/>
      <c r="EBC1" s="110"/>
      <c r="EBD1" s="110"/>
      <c r="EBE1" s="110"/>
      <c r="EBF1" s="110"/>
      <c r="EBG1" s="110"/>
      <c r="EBH1" s="110"/>
      <c r="EBI1" s="110"/>
      <c r="EBJ1" s="110"/>
      <c r="EBK1" s="110"/>
      <c r="EBL1" s="110"/>
      <c r="EBM1" s="110"/>
      <c r="EBN1" s="110"/>
      <c r="EBO1" s="110"/>
      <c r="EBP1" s="110"/>
      <c r="EBQ1" s="110"/>
      <c r="EBR1" s="110"/>
      <c r="EBS1" s="110"/>
      <c r="EBT1" s="110"/>
      <c r="EBU1" s="110"/>
      <c r="EBV1" s="110"/>
      <c r="EBW1" s="110"/>
      <c r="EBX1" s="110"/>
      <c r="EBY1" s="110"/>
      <c r="EBZ1" s="110"/>
      <c r="ECA1" s="110"/>
      <c r="ECB1" s="110"/>
      <c r="ECC1" s="110"/>
      <c r="ECD1" s="110"/>
      <c r="ECE1" s="110"/>
      <c r="ECF1" s="110"/>
      <c r="ECG1" s="110"/>
      <c r="ECH1" s="110"/>
      <c r="ECI1" s="110"/>
      <c r="ECJ1" s="110"/>
      <c r="ECK1" s="110"/>
      <c r="ECL1" s="110"/>
      <c r="ECM1" s="110"/>
      <c r="ECN1" s="110"/>
      <c r="ECO1" s="110"/>
      <c r="ECP1" s="110"/>
      <c r="ECQ1" s="110"/>
      <c r="ECR1" s="110"/>
      <c r="ECS1" s="110"/>
      <c r="ECT1" s="110"/>
      <c r="ECU1" s="110"/>
      <c r="ECV1" s="110"/>
      <c r="ECW1" s="110"/>
      <c r="ECX1" s="110"/>
      <c r="ECY1" s="110"/>
      <c r="ECZ1" s="110"/>
      <c r="EDA1" s="110"/>
      <c r="EDB1" s="110"/>
      <c r="EDC1" s="110"/>
      <c r="EDD1" s="110"/>
      <c r="EDE1" s="110"/>
      <c r="EDF1" s="110"/>
      <c r="EDG1" s="110"/>
      <c r="EDH1" s="110"/>
      <c r="EDI1" s="110"/>
      <c r="EDJ1" s="110"/>
      <c r="EDK1" s="110"/>
      <c r="EDL1" s="110"/>
      <c r="EDM1" s="110"/>
      <c r="EDN1" s="110"/>
      <c r="EDO1" s="110"/>
      <c r="EDP1" s="110"/>
      <c r="EDQ1" s="110"/>
      <c r="EDR1" s="110"/>
      <c r="EDS1" s="110"/>
      <c r="EDT1" s="110"/>
      <c r="EDU1" s="110"/>
      <c r="EDV1" s="110"/>
      <c r="EDW1" s="110"/>
      <c r="EDX1" s="110"/>
      <c r="EDY1" s="110"/>
      <c r="EDZ1" s="110"/>
      <c r="EEA1" s="110"/>
      <c r="EEB1" s="110"/>
      <c r="EEC1" s="110"/>
      <c r="EED1" s="110"/>
      <c r="EEE1" s="110"/>
      <c r="EEF1" s="110"/>
      <c r="EEG1" s="110"/>
      <c r="EEH1" s="110"/>
      <c r="EEI1" s="110"/>
      <c r="EEJ1" s="110"/>
      <c r="EEK1" s="110"/>
      <c r="EEL1" s="110"/>
      <c r="EEM1" s="110"/>
      <c r="EEN1" s="110"/>
      <c r="EEO1" s="110"/>
      <c r="EEP1" s="110"/>
      <c r="EEQ1" s="110"/>
      <c r="EER1" s="110"/>
      <c r="EES1" s="110"/>
      <c r="EET1" s="110"/>
      <c r="EEU1" s="110"/>
      <c r="EEV1" s="110"/>
      <c r="EEW1" s="110"/>
      <c r="EEX1" s="110"/>
      <c r="EEY1" s="110"/>
      <c r="EEZ1" s="110"/>
      <c r="EFA1" s="110"/>
      <c r="EFB1" s="110"/>
      <c r="EFC1" s="110"/>
      <c r="EFD1" s="110"/>
      <c r="EFE1" s="110"/>
      <c r="EFF1" s="110"/>
      <c r="EFG1" s="110"/>
      <c r="EFH1" s="110"/>
      <c r="EFI1" s="110"/>
      <c r="EFJ1" s="110"/>
      <c r="EFK1" s="110"/>
      <c r="EFL1" s="110"/>
      <c r="EFM1" s="110"/>
      <c r="EFN1" s="110"/>
      <c r="EFO1" s="110"/>
      <c r="EFP1" s="110"/>
      <c r="EFQ1" s="110"/>
      <c r="EFR1" s="110"/>
      <c r="EFS1" s="110"/>
      <c r="EFT1" s="110"/>
      <c r="EFU1" s="110"/>
      <c r="EFV1" s="110"/>
      <c r="EFW1" s="110"/>
      <c r="EFX1" s="110"/>
      <c r="EFY1" s="110"/>
      <c r="EFZ1" s="110"/>
      <c r="EGA1" s="110"/>
      <c r="EGB1" s="110"/>
      <c r="EGC1" s="110"/>
      <c r="EGD1" s="110"/>
      <c r="EGE1" s="110"/>
      <c r="EGF1" s="110"/>
      <c r="EGG1" s="110"/>
      <c r="EGH1" s="110"/>
      <c r="EGI1" s="110"/>
      <c r="EGJ1" s="110"/>
      <c r="EGK1" s="110"/>
      <c r="EGL1" s="110"/>
      <c r="EGM1" s="110"/>
      <c r="EGN1" s="110"/>
      <c r="EGO1" s="110"/>
      <c r="EGP1" s="110"/>
      <c r="EGQ1" s="110"/>
      <c r="EGR1" s="110"/>
      <c r="EGS1" s="110"/>
      <c r="EGT1" s="110"/>
      <c r="EGU1" s="110"/>
      <c r="EGV1" s="110"/>
      <c r="EGW1" s="110"/>
      <c r="EGX1" s="110"/>
      <c r="EGY1" s="110"/>
      <c r="EGZ1" s="110"/>
      <c r="EHA1" s="110"/>
      <c r="EHB1" s="110"/>
      <c r="EHC1" s="110"/>
      <c r="EHD1" s="110"/>
      <c r="EHE1" s="110"/>
      <c r="EHF1" s="110"/>
      <c r="EHG1" s="110"/>
      <c r="EHH1" s="110"/>
      <c r="EHI1" s="110"/>
      <c r="EHJ1" s="110"/>
      <c r="EHK1" s="110"/>
      <c r="EHL1" s="110"/>
      <c r="EHM1" s="110"/>
      <c r="EHN1" s="110"/>
      <c r="EHO1" s="110"/>
      <c r="EHP1" s="110"/>
      <c r="EHQ1" s="110"/>
      <c r="EHR1" s="110"/>
      <c r="EHS1" s="110"/>
      <c r="EHT1" s="110"/>
      <c r="EHU1" s="110"/>
      <c r="EHV1" s="110"/>
      <c r="EHW1" s="110"/>
      <c r="EHX1" s="110"/>
      <c r="EHY1" s="110"/>
      <c r="EHZ1" s="110"/>
      <c r="EIA1" s="110"/>
      <c r="EIB1" s="110"/>
      <c r="EIC1" s="110"/>
      <c r="EID1" s="110"/>
      <c r="EIE1" s="110"/>
      <c r="EIF1" s="110"/>
      <c r="EIG1" s="110"/>
      <c r="EIH1" s="110"/>
      <c r="EII1" s="110"/>
      <c r="EIJ1" s="110"/>
      <c r="EIK1" s="110"/>
      <c r="EIL1" s="110"/>
      <c r="EIM1" s="110"/>
      <c r="EIN1" s="110"/>
      <c r="EIO1" s="110"/>
      <c r="EIP1" s="110"/>
      <c r="EIQ1" s="110"/>
      <c r="EIR1" s="110"/>
      <c r="EIS1" s="110"/>
      <c r="EIT1" s="110"/>
      <c r="EIU1" s="110"/>
      <c r="EIV1" s="110"/>
      <c r="EIW1" s="110"/>
      <c r="EIX1" s="110"/>
      <c r="EIY1" s="110"/>
      <c r="EIZ1" s="110"/>
      <c r="EJA1" s="110"/>
      <c r="EJB1" s="110"/>
      <c r="EJC1" s="110"/>
      <c r="EJD1" s="110"/>
      <c r="EJE1" s="110"/>
      <c r="EJF1" s="110"/>
      <c r="EJG1" s="110"/>
      <c r="EJH1" s="110"/>
      <c r="EJI1" s="110"/>
      <c r="EJJ1" s="110"/>
      <c r="EJK1" s="110"/>
      <c r="EJL1" s="110"/>
      <c r="EJM1" s="110"/>
      <c r="EJN1" s="110"/>
      <c r="EJO1" s="110"/>
      <c r="EJP1" s="110"/>
      <c r="EJQ1" s="110"/>
      <c r="EJR1" s="110"/>
      <c r="EJS1" s="110"/>
      <c r="EJT1" s="110"/>
      <c r="EJU1" s="110"/>
      <c r="EJV1" s="110"/>
      <c r="EJW1" s="110"/>
      <c r="EJX1" s="110"/>
      <c r="EJY1" s="110"/>
      <c r="EJZ1" s="110"/>
      <c r="EKA1" s="110"/>
      <c r="EKB1" s="110"/>
      <c r="EKC1" s="110"/>
      <c r="EKD1" s="110"/>
      <c r="EKE1" s="110"/>
      <c r="EKF1" s="110"/>
      <c r="EKG1" s="110"/>
      <c r="EKH1" s="110"/>
      <c r="EKI1" s="110"/>
      <c r="EKJ1" s="110"/>
      <c r="EKK1" s="110"/>
      <c r="EKL1" s="110"/>
      <c r="EKM1" s="110"/>
      <c r="EKN1" s="110"/>
      <c r="EKO1" s="110"/>
      <c r="EKP1" s="110"/>
      <c r="EKQ1" s="110"/>
      <c r="EKR1" s="110"/>
      <c r="EKS1" s="110"/>
      <c r="EKT1" s="110"/>
      <c r="EKU1" s="110"/>
      <c r="EKV1" s="110"/>
      <c r="EKW1" s="110"/>
      <c r="EKX1" s="110"/>
      <c r="EKY1" s="110"/>
      <c r="EKZ1" s="110"/>
      <c r="ELA1" s="110"/>
      <c r="ELB1" s="110"/>
      <c r="ELC1" s="110"/>
      <c r="ELD1" s="110"/>
      <c r="ELE1" s="110"/>
      <c r="ELF1" s="110"/>
      <c r="ELG1" s="110"/>
      <c r="ELH1" s="110"/>
      <c r="ELI1" s="110"/>
      <c r="ELJ1" s="110"/>
      <c r="ELK1" s="110"/>
      <c r="ELL1" s="110"/>
      <c r="ELM1" s="110"/>
      <c r="ELN1" s="110"/>
      <c r="ELO1" s="110"/>
      <c r="ELP1" s="110"/>
      <c r="ELQ1" s="110"/>
      <c r="ELR1" s="110"/>
      <c r="ELS1" s="110"/>
      <c r="ELT1" s="110"/>
      <c r="ELU1" s="110"/>
      <c r="ELV1" s="110"/>
      <c r="ELW1" s="110"/>
      <c r="ELX1" s="110"/>
      <c r="ELY1" s="110"/>
      <c r="ELZ1" s="110"/>
      <c r="EMA1" s="110"/>
      <c r="EMB1" s="110"/>
      <c r="EMC1" s="110"/>
      <c r="EMD1" s="110"/>
      <c r="EME1" s="110"/>
      <c r="EMF1" s="110"/>
      <c r="EMG1" s="110"/>
      <c r="EMH1" s="110"/>
      <c r="EMI1" s="110"/>
      <c r="EMJ1" s="110"/>
      <c r="EMK1" s="110"/>
      <c r="EML1" s="110"/>
      <c r="EMM1" s="110"/>
      <c r="EMN1" s="110"/>
      <c r="EMO1" s="110"/>
      <c r="EMP1" s="110"/>
      <c r="EMQ1" s="110"/>
      <c r="EMR1" s="110"/>
      <c r="EMS1" s="110"/>
      <c r="EMT1" s="110"/>
      <c r="EMU1" s="110"/>
      <c r="EMV1" s="110"/>
      <c r="EMW1" s="110"/>
      <c r="EMX1" s="110"/>
      <c r="EMY1" s="110"/>
      <c r="EMZ1" s="110"/>
      <c r="ENA1" s="110"/>
      <c r="ENB1" s="110"/>
      <c r="ENC1" s="110"/>
      <c r="END1" s="110"/>
      <c r="ENE1" s="110"/>
      <c r="ENF1" s="110"/>
      <c r="ENG1" s="110"/>
      <c r="ENH1" s="110"/>
      <c r="ENI1" s="110"/>
      <c r="ENJ1" s="110"/>
      <c r="ENK1" s="110"/>
      <c r="ENL1" s="110"/>
      <c r="ENM1" s="110"/>
      <c r="ENN1" s="110"/>
      <c r="ENO1" s="110"/>
      <c r="ENP1" s="110"/>
      <c r="ENQ1" s="110"/>
      <c r="ENR1" s="110"/>
      <c r="ENS1" s="110"/>
      <c r="ENT1" s="110"/>
      <c r="ENU1" s="110"/>
      <c r="ENV1" s="110"/>
      <c r="ENW1" s="110"/>
      <c r="ENX1" s="110"/>
      <c r="ENY1" s="110"/>
      <c r="ENZ1" s="110"/>
      <c r="EOA1" s="110"/>
      <c r="EOB1" s="110"/>
      <c r="EOC1" s="110"/>
      <c r="EOD1" s="110"/>
      <c r="EOE1" s="110"/>
      <c r="EOF1" s="110"/>
      <c r="EOG1" s="110"/>
      <c r="EOH1" s="110"/>
      <c r="EOI1" s="110"/>
      <c r="EOJ1" s="110"/>
      <c r="EOK1" s="110"/>
      <c r="EOL1" s="110"/>
      <c r="EOM1" s="110"/>
      <c r="EON1" s="110"/>
      <c r="EOO1" s="110"/>
      <c r="EOP1" s="110"/>
      <c r="EOQ1" s="110"/>
      <c r="EOR1" s="110"/>
      <c r="EOS1" s="110"/>
      <c r="EOT1" s="110"/>
      <c r="EOU1" s="110"/>
      <c r="EOV1" s="110"/>
      <c r="EOW1" s="110"/>
      <c r="EOX1" s="110"/>
      <c r="EOY1" s="110"/>
      <c r="EOZ1" s="110"/>
      <c r="EPA1" s="110"/>
      <c r="EPB1" s="110"/>
      <c r="EPC1" s="110"/>
      <c r="EPD1" s="110"/>
      <c r="EPE1" s="110"/>
      <c r="EPF1" s="110"/>
      <c r="EPG1" s="110"/>
      <c r="EPH1" s="110"/>
      <c r="EPI1" s="110"/>
      <c r="EPJ1" s="110"/>
      <c r="EPK1" s="110"/>
      <c r="EPL1" s="110"/>
      <c r="EPM1" s="110"/>
      <c r="EPN1" s="110"/>
      <c r="EPO1" s="110"/>
      <c r="EPP1" s="110"/>
      <c r="EPQ1" s="110"/>
      <c r="EPR1" s="110"/>
      <c r="EPS1" s="110"/>
      <c r="EPT1" s="110"/>
      <c r="EPU1" s="110"/>
      <c r="EPV1" s="110"/>
      <c r="EPW1" s="110"/>
      <c r="EPX1" s="110"/>
      <c r="EPY1" s="110"/>
      <c r="EPZ1" s="110"/>
      <c r="EQA1" s="110"/>
      <c r="EQB1" s="110"/>
      <c r="EQC1" s="110"/>
      <c r="EQD1" s="110"/>
      <c r="EQE1" s="110"/>
      <c r="EQF1" s="110"/>
      <c r="EQG1" s="110"/>
      <c r="EQH1" s="110"/>
      <c r="EQI1" s="110"/>
      <c r="EQJ1" s="110"/>
      <c r="EQK1" s="110"/>
      <c r="EQL1" s="110"/>
      <c r="EQM1" s="110"/>
      <c r="EQN1" s="110"/>
      <c r="EQO1" s="110"/>
      <c r="EQP1" s="110"/>
      <c r="EQQ1" s="110"/>
      <c r="EQR1" s="110"/>
      <c r="EQS1" s="110"/>
      <c r="EQT1" s="110"/>
      <c r="EQU1" s="110"/>
      <c r="EQV1" s="110"/>
      <c r="EQW1" s="110"/>
      <c r="EQX1" s="110"/>
      <c r="EQY1" s="110"/>
      <c r="EQZ1" s="110"/>
      <c r="ERA1" s="110"/>
      <c r="ERB1" s="110"/>
      <c r="ERC1" s="110"/>
      <c r="ERD1" s="110"/>
      <c r="ERE1" s="110"/>
      <c r="ERF1" s="110"/>
      <c r="ERG1" s="110"/>
      <c r="ERH1" s="110"/>
      <c r="ERI1" s="110"/>
      <c r="ERJ1" s="110"/>
      <c r="ERK1" s="110"/>
      <c r="ERL1" s="110"/>
      <c r="ERM1" s="110"/>
      <c r="ERN1" s="110"/>
      <c r="ERO1" s="110"/>
      <c r="ERP1" s="110"/>
      <c r="ERQ1" s="110"/>
      <c r="ERR1" s="110"/>
      <c r="ERS1" s="110"/>
      <c r="ERT1" s="110"/>
      <c r="ERU1" s="110"/>
      <c r="ERV1" s="110"/>
      <c r="ERW1" s="110"/>
      <c r="ERX1" s="110"/>
      <c r="ERY1" s="110"/>
      <c r="ERZ1" s="110"/>
      <c r="ESA1" s="110"/>
      <c r="ESB1" s="110"/>
      <c r="ESC1" s="110"/>
      <c r="ESD1" s="110"/>
      <c r="ESE1" s="110"/>
      <c r="ESF1" s="110"/>
      <c r="ESG1" s="110"/>
      <c r="ESH1" s="110"/>
      <c r="ESI1" s="110"/>
      <c r="ESJ1" s="110"/>
      <c r="ESK1" s="110"/>
      <c r="ESL1" s="110"/>
      <c r="ESM1" s="110"/>
      <c r="ESN1" s="110"/>
      <c r="ESO1" s="110"/>
      <c r="ESP1" s="110"/>
      <c r="ESQ1" s="110"/>
      <c r="ESR1" s="110"/>
      <c r="ESS1" s="110"/>
      <c r="EST1" s="110"/>
      <c r="ESU1" s="110"/>
      <c r="ESV1" s="110"/>
      <c r="ESW1" s="110"/>
      <c r="ESX1" s="110"/>
      <c r="ESY1" s="110"/>
      <c r="ESZ1" s="110"/>
      <c r="ETA1" s="110"/>
      <c r="ETB1" s="110"/>
      <c r="ETC1" s="110"/>
      <c r="ETD1" s="110"/>
      <c r="ETE1" s="110"/>
      <c r="ETF1" s="110"/>
      <c r="ETG1" s="110"/>
      <c r="ETH1" s="110"/>
      <c r="ETI1" s="110"/>
      <c r="ETJ1" s="110"/>
      <c r="ETK1" s="110"/>
      <c r="ETL1" s="110"/>
      <c r="ETM1" s="110"/>
      <c r="ETN1" s="110"/>
      <c r="ETO1" s="110"/>
      <c r="ETP1" s="110"/>
      <c r="ETQ1" s="110"/>
      <c r="ETR1" s="110"/>
      <c r="ETS1" s="110"/>
      <c r="ETT1" s="110"/>
      <c r="ETU1" s="110"/>
      <c r="ETV1" s="110"/>
      <c r="ETW1" s="110"/>
      <c r="ETX1" s="110"/>
      <c r="ETY1" s="110"/>
      <c r="ETZ1" s="110"/>
      <c r="EUA1" s="110"/>
      <c r="EUB1" s="110"/>
      <c r="EUC1" s="110"/>
      <c r="EUD1" s="110"/>
      <c r="EUE1" s="110"/>
      <c r="EUF1" s="110"/>
      <c r="EUG1" s="110"/>
      <c r="EUH1" s="110"/>
      <c r="EUI1" s="110"/>
      <c r="EUJ1" s="110"/>
      <c r="EUK1" s="110"/>
      <c r="EUL1" s="110"/>
      <c r="EUM1" s="110"/>
      <c r="EUN1" s="110"/>
      <c r="EUO1" s="110"/>
      <c r="EUP1" s="110"/>
      <c r="EUQ1" s="110"/>
      <c r="EUR1" s="110"/>
      <c r="EUS1" s="110"/>
      <c r="EUT1" s="110"/>
      <c r="EUU1" s="110"/>
      <c r="EUV1" s="110"/>
      <c r="EUW1" s="110"/>
      <c r="EUX1" s="110"/>
      <c r="EUY1" s="110"/>
      <c r="EUZ1" s="110"/>
      <c r="EVA1" s="110"/>
      <c r="EVB1" s="110"/>
      <c r="EVC1" s="110"/>
      <c r="EVD1" s="110"/>
      <c r="EVE1" s="110"/>
      <c r="EVF1" s="110"/>
      <c r="EVG1" s="110"/>
      <c r="EVH1" s="110"/>
      <c r="EVI1" s="110"/>
      <c r="EVJ1" s="110"/>
      <c r="EVK1" s="110"/>
      <c r="EVL1" s="110"/>
      <c r="EVM1" s="110"/>
      <c r="EVN1" s="110"/>
      <c r="EVO1" s="110"/>
      <c r="EVP1" s="110"/>
      <c r="EVQ1" s="110"/>
      <c r="EVR1" s="110"/>
      <c r="EVS1" s="110"/>
      <c r="EVT1" s="110"/>
      <c r="EVU1" s="110"/>
      <c r="EVV1" s="110"/>
      <c r="EVW1" s="110"/>
      <c r="EVX1" s="110"/>
      <c r="EVY1" s="110"/>
      <c r="EVZ1" s="110"/>
      <c r="EWA1" s="110"/>
      <c r="EWB1" s="110"/>
      <c r="EWC1" s="110"/>
      <c r="EWD1" s="110"/>
      <c r="EWE1" s="110"/>
      <c r="EWF1" s="110"/>
      <c r="EWG1" s="110"/>
      <c r="EWH1" s="110"/>
      <c r="EWI1" s="110"/>
      <c r="EWJ1" s="110"/>
      <c r="EWK1" s="110"/>
      <c r="EWL1" s="110"/>
      <c r="EWM1" s="110"/>
      <c r="EWN1" s="110"/>
      <c r="EWO1" s="110"/>
      <c r="EWP1" s="110"/>
      <c r="EWQ1" s="110"/>
      <c r="EWR1" s="110"/>
      <c r="EWS1" s="110"/>
      <c r="EWT1" s="110"/>
      <c r="EWU1" s="110"/>
      <c r="EWV1" s="110"/>
      <c r="EWW1" s="110"/>
      <c r="EWX1" s="110"/>
      <c r="EWY1" s="110"/>
      <c r="EWZ1" s="110"/>
      <c r="EXA1" s="110"/>
      <c r="EXB1" s="110"/>
      <c r="EXC1" s="110"/>
      <c r="EXD1" s="110"/>
      <c r="EXE1" s="110"/>
      <c r="EXF1" s="110"/>
      <c r="EXG1" s="110"/>
      <c r="EXH1" s="110"/>
      <c r="EXI1" s="110"/>
      <c r="EXJ1" s="110"/>
      <c r="EXK1" s="110"/>
      <c r="EXL1" s="110"/>
      <c r="EXM1" s="110"/>
      <c r="EXN1" s="110"/>
      <c r="EXO1" s="110"/>
      <c r="EXP1" s="110"/>
      <c r="EXQ1" s="110"/>
      <c r="EXR1" s="110"/>
      <c r="EXS1" s="110"/>
      <c r="EXT1" s="110"/>
      <c r="EXU1" s="110"/>
      <c r="EXV1" s="110"/>
      <c r="EXW1" s="110"/>
      <c r="EXX1" s="110"/>
      <c r="EXY1" s="110"/>
      <c r="EXZ1" s="110"/>
      <c r="EYA1" s="110"/>
      <c r="EYB1" s="110"/>
      <c r="EYC1" s="110"/>
      <c r="EYD1" s="110"/>
      <c r="EYE1" s="110"/>
      <c r="EYF1" s="110"/>
      <c r="EYG1" s="110"/>
      <c r="EYH1" s="110"/>
      <c r="EYI1" s="110"/>
      <c r="EYJ1" s="110"/>
      <c r="EYK1" s="110"/>
      <c r="EYL1" s="110"/>
      <c r="EYM1" s="110"/>
      <c r="EYN1" s="110"/>
      <c r="EYO1" s="110"/>
      <c r="EYP1" s="110"/>
      <c r="EYQ1" s="110"/>
      <c r="EYR1" s="110"/>
      <c r="EYS1" s="110"/>
      <c r="EYT1" s="110"/>
      <c r="EYU1" s="110"/>
      <c r="EYV1" s="110"/>
      <c r="EYW1" s="110"/>
      <c r="EYX1" s="110"/>
      <c r="EYY1" s="110"/>
      <c r="EYZ1" s="110"/>
      <c r="EZA1" s="110"/>
      <c r="EZB1" s="110"/>
      <c r="EZC1" s="110"/>
      <c r="EZD1" s="110"/>
      <c r="EZE1" s="110"/>
      <c r="EZF1" s="110"/>
      <c r="EZG1" s="110"/>
      <c r="EZH1" s="110"/>
      <c r="EZI1" s="110"/>
      <c r="EZJ1" s="110"/>
      <c r="EZK1" s="110"/>
      <c r="EZL1" s="110"/>
      <c r="EZM1" s="110"/>
      <c r="EZN1" s="110"/>
      <c r="EZO1" s="110"/>
      <c r="EZP1" s="110"/>
      <c r="EZQ1" s="110"/>
      <c r="EZR1" s="110"/>
      <c r="EZS1" s="110"/>
      <c r="EZT1" s="110"/>
      <c r="EZU1" s="110"/>
      <c r="EZV1" s="110"/>
      <c r="EZW1" s="110"/>
      <c r="EZX1" s="110"/>
      <c r="EZY1" s="110"/>
      <c r="EZZ1" s="110"/>
      <c r="FAA1" s="110"/>
      <c r="FAB1" s="110"/>
      <c r="FAC1" s="110"/>
      <c r="FAD1" s="110"/>
      <c r="FAE1" s="110"/>
      <c r="FAF1" s="110"/>
      <c r="FAG1" s="110"/>
      <c r="FAH1" s="110"/>
      <c r="FAI1" s="110"/>
      <c r="FAJ1" s="110"/>
      <c r="FAK1" s="110"/>
      <c r="FAL1" s="110"/>
      <c r="FAM1" s="110"/>
      <c r="FAN1" s="110"/>
      <c r="FAO1" s="110"/>
      <c r="FAP1" s="110"/>
      <c r="FAQ1" s="110"/>
      <c r="FAR1" s="110"/>
      <c r="FAS1" s="110"/>
      <c r="FAT1" s="110"/>
      <c r="FAU1" s="110"/>
      <c r="FAV1" s="110"/>
      <c r="FAW1" s="110"/>
      <c r="FAX1" s="110"/>
      <c r="FAY1" s="110"/>
      <c r="FAZ1" s="110"/>
      <c r="FBA1" s="110"/>
      <c r="FBB1" s="110"/>
      <c r="FBC1" s="110"/>
      <c r="FBD1" s="110"/>
      <c r="FBE1" s="110"/>
      <c r="FBF1" s="110"/>
      <c r="FBG1" s="110"/>
      <c r="FBH1" s="110"/>
      <c r="FBI1" s="110"/>
      <c r="FBJ1" s="110"/>
      <c r="FBK1" s="110"/>
      <c r="FBL1" s="110"/>
      <c r="FBM1" s="110"/>
      <c r="FBN1" s="110"/>
      <c r="FBO1" s="110"/>
      <c r="FBP1" s="110"/>
      <c r="FBQ1" s="110"/>
      <c r="FBR1" s="110"/>
      <c r="FBS1" s="110"/>
      <c r="FBT1" s="110"/>
      <c r="FBU1" s="110"/>
      <c r="FBV1" s="110"/>
      <c r="FBW1" s="110"/>
      <c r="FBX1" s="110"/>
      <c r="FBY1" s="110"/>
      <c r="FBZ1" s="110"/>
      <c r="FCA1" s="110"/>
      <c r="FCB1" s="110"/>
      <c r="FCC1" s="110"/>
      <c r="FCD1" s="110"/>
      <c r="FCE1" s="110"/>
      <c r="FCF1" s="110"/>
      <c r="FCG1" s="110"/>
      <c r="FCH1" s="110"/>
      <c r="FCI1" s="110"/>
      <c r="FCJ1" s="110"/>
      <c r="FCK1" s="110"/>
      <c r="FCL1" s="110"/>
      <c r="FCM1" s="110"/>
      <c r="FCN1" s="110"/>
      <c r="FCO1" s="110"/>
      <c r="FCP1" s="110"/>
      <c r="FCQ1" s="110"/>
      <c r="FCR1" s="110"/>
      <c r="FCS1" s="110"/>
      <c r="FCT1" s="110"/>
      <c r="FCU1" s="110"/>
      <c r="FCV1" s="110"/>
      <c r="FCW1" s="110"/>
      <c r="FCX1" s="110"/>
      <c r="FCY1" s="110"/>
      <c r="FCZ1" s="110"/>
      <c r="FDA1" s="110"/>
      <c r="FDB1" s="110"/>
      <c r="FDC1" s="110"/>
      <c r="FDD1" s="110"/>
      <c r="FDE1" s="110"/>
      <c r="FDF1" s="110"/>
      <c r="FDG1" s="110"/>
      <c r="FDH1" s="110"/>
      <c r="FDI1" s="110"/>
      <c r="FDJ1" s="110"/>
      <c r="FDK1" s="110"/>
      <c r="FDL1" s="110"/>
      <c r="FDM1" s="110"/>
      <c r="FDN1" s="110"/>
      <c r="FDO1" s="110"/>
      <c r="FDP1" s="110"/>
      <c r="FDQ1" s="110"/>
      <c r="FDR1" s="110"/>
      <c r="FDS1" s="110"/>
      <c r="FDT1" s="110"/>
      <c r="FDU1" s="110"/>
      <c r="FDV1" s="110"/>
      <c r="FDW1" s="110"/>
      <c r="FDX1" s="110"/>
      <c r="FDY1" s="110"/>
      <c r="FDZ1" s="110"/>
      <c r="FEA1" s="110"/>
      <c r="FEB1" s="110"/>
      <c r="FEC1" s="110"/>
      <c r="FED1" s="110"/>
      <c r="FEE1" s="110"/>
      <c r="FEF1" s="110"/>
      <c r="FEG1" s="110"/>
      <c r="FEH1" s="110"/>
      <c r="FEI1" s="110"/>
      <c r="FEJ1" s="110"/>
      <c r="FEK1" s="110"/>
      <c r="FEL1" s="110"/>
      <c r="FEM1" s="110"/>
      <c r="FEN1" s="110"/>
      <c r="FEO1" s="110"/>
      <c r="FEP1" s="110"/>
      <c r="FEQ1" s="110"/>
      <c r="FER1" s="110"/>
      <c r="FES1" s="110"/>
      <c r="FET1" s="110"/>
      <c r="FEU1" s="110"/>
      <c r="FEV1" s="110"/>
      <c r="FEW1" s="110"/>
      <c r="FEX1" s="110"/>
      <c r="FEY1" s="110"/>
      <c r="FEZ1" s="110"/>
      <c r="FFA1" s="110"/>
      <c r="FFB1" s="110"/>
      <c r="FFC1" s="110"/>
      <c r="FFD1" s="110"/>
      <c r="FFE1" s="110"/>
      <c r="FFF1" s="110"/>
      <c r="FFG1" s="110"/>
      <c r="FFH1" s="110"/>
      <c r="FFI1" s="110"/>
      <c r="FFJ1" s="110"/>
      <c r="FFK1" s="110"/>
      <c r="FFL1" s="110"/>
      <c r="FFM1" s="110"/>
      <c r="FFN1" s="110"/>
      <c r="FFO1" s="110"/>
      <c r="FFP1" s="110"/>
      <c r="FFQ1" s="110"/>
      <c r="FFR1" s="110"/>
      <c r="FFS1" s="110"/>
      <c r="FFT1" s="110"/>
      <c r="FFU1" s="110"/>
      <c r="FFV1" s="110"/>
      <c r="FFW1" s="110"/>
      <c r="FFX1" s="110"/>
      <c r="FFY1" s="110"/>
      <c r="FFZ1" s="110"/>
      <c r="FGA1" s="110"/>
      <c r="FGB1" s="110"/>
      <c r="FGC1" s="110"/>
      <c r="FGD1" s="110"/>
      <c r="FGE1" s="110"/>
      <c r="FGF1" s="110"/>
      <c r="FGG1" s="110"/>
      <c r="FGH1" s="110"/>
      <c r="FGI1" s="110"/>
      <c r="FGJ1" s="110"/>
      <c r="FGK1" s="110"/>
      <c r="FGL1" s="110"/>
      <c r="FGM1" s="110"/>
      <c r="FGN1" s="110"/>
      <c r="FGO1" s="110"/>
      <c r="FGP1" s="110"/>
      <c r="FGQ1" s="110"/>
      <c r="FGR1" s="110"/>
      <c r="FGS1" s="110"/>
      <c r="FGT1" s="110"/>
      <c r="FGU1" s="110"/>
      <c r="FGV1" s="110"/>
      <c r="FGW1" s="110"/>
      <c r="FGX1" s="110"/>
      <c r="FGY1" s="110"/>
      <c r="FGZ1" s="110"/>
      <c r="FHA1" s="110"/>
      <c r="FHB1" s="110"/>
      <c r="FHC1" s="110"/>
      <c r="FHD1" s="110"/>
      <c r="FHE1" s="110"/>
      <c r="FHF1" s="110"/>
      <c r="FHG1" s="110"/>
      <c r="FHH1" s="110"/>
      <c r="FHI1" s="110"/>
      <c r="FHJ1" s="110"/>
      <c r="FHK1" s="110"/>
      <c r="FHL1" s="110"/>
      <c r="FHM1" s="110"/>
      <c r="FHN1" s="110"/>
      <c r="FHO1" s="110"/>
      <c r="FHP1" s="110"/>
      <c r="FHQ1" s="110"/>
      <c r="FHR1" s="110"/>
      <c r="FHS1" s="110"/>
      <c r="FHT1" s="110"/>
      <c r="FHU1" s="110"/>
      <c r="FHV1" s="110"/>
      <c r="FHW1" s="110"/>
      <c r="FHX1" s="110"/>
      <c r="FHY1" s="110"/>
      <c r="FHZ1" s="110"/>
      <c r="FIA1" s="110"/>
      <c r="FIB1" s="110"/>
      <c r="FIC1" s="110"/>
      <c r="FID1" s="110"/>
      <c r="FIE1" s="110"/>
      <c r="FIF1" s="110"/>
      <c r="FIG1" s="110"/>
      <c r="FIH1" s="110"/>
      <c r="FII1" s="110"/>
      <c r="FIJ1" s="110"/>
      <c r="FIK1" s="110"/>
      <c r="FIL1" s="110"/>
      <c r="FIM1" s="110"/>
      <c r="FIN1" s="110"/>
      <c r="FIO1" s="110"/>
      <c r="FIP1" s="110"/>
      <c r="FIQ1" s="110"/>
      <c r="FIR1" s="110"/>
      <c r="FIS1" s="110"/>
      <c r="FIT1" s="110"/>
      <c r="FIU1" s="110"/>
      <c r="FIV1" s="110"/>
      <c r="FIW1" s="110"/>
      <c r="FIX1" s="110"/>
      <c r="FIY1" s="110"/>
      <c r="FIZ1" s="110"/>
      <c r="FJA1" s="110"/>
      <c r="FJB1" s="110"/>
      <c r="FJC1" s="110"/>
      <c r="FJD1" s="110"/>
      <c r="FJE1" s="110"/>
      <c r="FJF1" s="110"/>
      <c r="FJG1" s="110"/>
      <c r="FJH1" s="110"/>
      <c r="FJI1" s="110"/>
      <c r="FJJ1" s="110"/>
      <c r="FJK1" s="110"/>
      <c r="FJL1" s="110"/>
      <c r="FJM1" s="110"/>
      <c r="FJN1" s="110"/>
      <c r="FJO1" s="110"/>
      <c r="FJP1" s="110"/>
      <c r="FJQ1" s="110"/>
      <c r="FJR1" s="110"/>
      <c r="FJS1" s="110"/>
      <c r="FJT1" s="110"/>
      <c r="FJU1" s="110"/>
      <c r="FJV1" s="110"/>
      <c r="FJW1" s="110"/>
      <c r="FJX1" s="110"/>
      <c r="FJY1" s="110"/>
      <c r="FJZ1" s="110"/>
      <c r="FKA1" s="110"/>
      <c r="FKB1" s="110"/>
      <c r="FKC1" s="110"/>
      <c r="FKD1" s="110"/>
      <c r="FKE1" s="110"/>
      <c r="FKF1" s="110"/>
      <c r="FKG1" s="110"/>
      <c r="FKH1" s="110"/>
      <c r="FKI1" s="110"/>
      <c r="FKJ1" s="110"/>
      <c r="FKK1" s="110"/>
      <c r="FKL1" s="110"/>
      <c r="FKM1" s="110"/>
      <c r="FKN1" s="110"/>
      <c r="FKO1" s="110"/>
      <c r="FKP1" s="110"/>
      <c r="FKQ1" s="110"/>
      <c r="FKR1" s="110"/>
      <c r="FKS1" s="110"/>
      <c r="FKT1" s="110"/>
      <c r="FKU1" s="110"/>
      <c r="FKV1" s="110"/>
      <c r="FKW1" s="110"/>
      <c r="FKX1" s="110"/>
      <c r="FKY1" s="110"/>
      <c r="FKZ1" s="110"/>
      <c r="FLA1" s="110"/>
      <c r="FLB1" s="110"/>
      <c r="FLC1" s="110"/>
      <c r="FLD1" s="110"/>
      <c r="FLE1" s="110"/>
      <c r="FLF1" s="110"/>
      <c r="FLG1" s="110"/>
      <c r="FLH1" s="110"/>
      <c r="FLI1" s="110"/>
      <c r="FLJ1" s="110"/>
      <c r="FLK1" s="110"/>
      <c r="FLL1" s="110"/>
      <c r="FLM1" s="110"/>
      <c r="FLN1" s="110"/>
      <c r="FLO1" s="110"/>
      <c r="FLP1" s="110"/>
      <c r="FLQ1" s="110"/>
      <c r="FLR1" s="110"/>
      <c r="FLS1" s="110"/>
      <c r="FLT1" s="110"/>
      <c r="FLU1" s="110"/>
      <c r="FLV1" s="110"/>
      <c r="FLW1" s="110"/>
      <c r="FLX1" s="110"/>
      <c r="FLY1" s="110"/>
      <c r="FLZ1" s="110"/>
      <c r="FMA1" s="110"/>
      <c r="FMB1" s="110"/>
      <c r="FMC1" s="110"/>
      <c r="FMD1" s="110"/>
      <c r="FME1" s="110"/>
      <c r="FMF1" s="110"/>
      <c r="FMG1" s="110"/>
      <c r="FMH1" s="110"/>
      <c r="FMI1" s="110"/>
      <c r="FMJ1" s="110"/>
      <c r="FMK1" s="110"/>
      <c r="FML1" s="110"/>
      <c r="FMM1" s="110"/>
      <c r="FMN1" s="110"/>
      <c r="FMO1" s="110"/>
      <c r="FMP1" s="110"/>
      <c r="FMQ1" s="110"/>
      <c r="FMR1" s="110"/>
      <c r="FMS1" s="110"/>
      <c r="FMT1" s="110"/>
      <c r="FMU1" s="110"/>
      <c r="FMV1" s="110"/>
      <c r="FMW1" s="110"/>
      <c r="FMX1" s="110"/>
      <c r="FMY1" s="110"/>
      <c r="FMZ1" s="110"/>
      <c r="FNA1" s="110"/>
      <c r="FNB1" s="110"/>
      <c r="FNC1" s="110"/>
      <c r="FND1" s="110"/>
      <c r="FNE1" s="110"/>
      <c r="FNF1" s="110"/>
      <c r="FNG1" s="110"/>
      <c r="FNH1" s="110"/>
      <c r="FNI1" s="110"/>
      <c r="FNJ1" s="110"/>
      <c r="FNK1" s="110"/>
      <c r="FNL1" s="110"/>
      <c r="FNM1" s="110"/>
      <c r="FNN1" s="110"/>
      <c r="FNO1" s="110"/>
      <c r="FNP1" s="110"/>
      <c r="FNQ1" s="110"/>
      <c r="FNR1" s="110"/>
      <c r="FNS1" s="110"/>
      <c r="FNT1" s="110"/>
      <c r="FNU1" s="110"/>
      <c r="FNV1" s="110"/>
      <c r="FNW1" s="110"/>
      <c r="FNX1" s="110"/>
      <c r="FNY1" s="110"/>
      <c r="FNZ1" s="110"/>
      <c r="FOA1" s="110"/>
      <c r="FOB1" s="110"/>
      <c r="FOC1" s="110"/>
      <c r="FOD1" s="110"/>
      <c r="FOE1" s="110"/>
      <c r="FOF1" s="110"/>
      <c r="FOG1" s="110"/>
      <c r="FOH1" s="110"/>
      <c r="FOI1" s="110"/>
      <c r="FOJ1" s="110"/>
      <c r="FOK1" s="110"/>
      <c r="FOL1" s="110"/>
      <c r="FOM1" s="110"/>
      <c r="FON1" s="110"/>
      <c r="FOO1" s="110"/>
      <c r="FOP1" s="110"/>
      <c r="FOQ1" s="110"/>
      <c r="FOR1" s="110"/>
      <c r="FOS1" s="110"/>
      <c r="FOT1" s="110"/>
      <c r="FOU1" s="110"/>
      <c r="FOV1" s="110"/>
      <c r="FOW1" s="110"/>
      <c r="FOX1" s="110"/>
      <c r="FOY1" s="110"/>
      <c r="FOZ1" s="110"/>
      <c r="FPA1" s="110"/>
      <c r="FPB1" s="110"/>
      <c r="FPC1" s="110"/>
      <c r="FPD1" s="110"/>
      <c r="FPE1" s="110"/>
      <c r="FPF1" s="110"/>
      <c r="FPG1" s="110"/>
      <c r="FPH1" s="110"/>
      <c r="FPI1" s="110"/>
      <c r="FPJ1" s="110"/>
      <c r="FPK1" s="110"/>
      <c r="FPL1" s="110"/>
      <c r="FPM1" s="110"/>
      <c r="FPN1" s="110"/>
      <c r="FPO1" s="110"/>
      <c r="FPP1" s="110"/>
      <c r="FPQ1" s="110"/>
      <c r="FPR1" s="110"/>
      <c r="FPS1" s="110"/>
      <c r="FPT1" s="110"/>
      <c r="FPU1" s="110"/>
      <c r="FPV1" s="110"/>
      <c r="FPW1" s="110"/>
      <c r="FPX1" s="110"/>
      <c r="FPY1" s="110"/>
      <c r="FPZ1" s="110"/>
      <c r="FQA1" s="110"/>
      <c r="FQB1" s="110"/>
      <c r="FQC1" s="110"/>
      <c r="FQD1" s="110"/>
      <c r="FQE1" s="110"/>
      <c r="FQF1" s="110"/>
      <c r="FQG1" s="110"/>
      <c r="FQH1" s="110"/>
      <c r="FQI1" s="110"/>
      <c r="FQJ1" s="110"/>
      <c r="FQK1" s="110"/>
      <c r="FQL1" s="110"/>
      <c r="FQM1" s="110"/>
      <c r="FQN1" s="110"/>
      <c r="FQO1" s="110"/>
      <c r="FQP1" s="110"/>
      <c r="FQQ1" s="110"/>
      <c r="FQR1" s="110"/>
      <c r="FQS1" s="110"/>
      <c r="FQT1" s="110"/>
      <c r="FQU1" s="110"/>
      <c r="FQV1" s="110"/>
      <c r="FQW1" s="110"/>
      <c r="FQX1" s="110"/>
      <c r="FQY1" s="110"/>
      <c r="FQZ1" s="110"/>
      <c r="FRA1" s="110"/>
      <c r="FRB1" s="110"/>
      <c r="FRC1" s="110"/>
      <c r="FRD1" s="110"/>
      <c r="FRE1" s="110"/>
      <c r="FRF1" s="110"/>
      <c r="FRG1" s="110"/>
      <c r="FRH1" s="110"/>
      <c r="FRI1" s="110"/>
      <c r="FRJ1" s="110"/>
      <c r="FRK1" s="110"/>
      <c r="FRL1" s="110"/>
      <c r="FRM1" s="110"/>
      <c r="FRN1" s="110"/>
      <c r="FRO1" s="110"/>
      <c r="FRP1" s="110"/>
      <c r="FRQ1" s="110"/>
      <c r="FRR1" s="110"/>
      <c r="FRS1" s="110"/>
      <c r="FRT1" s="110"/>
      <c r="FRU1" s="110"/>
      <c r="FRV1" s="110"/>
      <c r="FRW1" s="110"/>
      <c r="FRX1" s="110"/>
      <c r="FRY1" s="110"/>
      <c r="FRZ1" s="110"/>
      <c r="FSA1" s="110"/>
      <c r="FSB1" s="110"/>
      <c r="FSC1" s="110"/>
      <c r="FSD1" s="110"/>
      <c r="FSE1" s="110"/>
      <c r="FSF1" s="110"/>
      <c r="FSG1" s="110"/>
      <c r="FSH1" s="110"/>
      <c r="FSI1" s="110"/>
      <c r="FSJ1" s="110"/>
      <c r="FSK1" s="110"/>
      <c r="FSL1" s="110"/>
      <c r="FSM1" s="110"/>
      <c r="FSN1" s="110"/>
      <c r="FSO1" s="110"/>
      <c r="FSP1" s="110"/>
      <c r="FSQ1" s="110"/>
      <c r="FSR1" s="110"/>
      <c r="FSS1" s="110"/>
      <c r="FST1" s="110"/>
      <c r="FSU1" s="110"/>
      <c r="FSV1" s="110"/>
      <c r="FSW1" s="110"/>
      <c r="FSX1" s="110"/>
      <c r="FSY1" s="110"/>
      <c r="FSZ1" s="110"/>
      <c r="FTA1" s="110"/>
      <c r="FTB1" s="110"/>
      <c r="FTC1" s="110"/>
      <c r="FTD1" s="110"/>
      <c r="FTE1" s="110"/>
      <c r="FTF1" s="110"/>
      <c r="FTG1" s="110"/>
      <c r="FTH1" s="110"/>
      <c r="FTI1" s="110"/>
      <c r="FTJ1" s="110"/>
      <c r="FTK1" s="110"/>
      <c r="FTL1" s="110"/>
      <c r="FTM1" s="110"/>
      <c r="FTN1" s="110"/>
      <c r="FTO1" s="110"/>
      <c r="FTP1" s="110"/>
      <c r="FTQ1" s="110"/>
      <c r="FTR1" s="110"/>
      <c r="FTS1" s="110"/>
      <c r="FTT1" s="110"/>
      <c r="FTU1" s="110"/>
      <c r="FTV1" s="110"/>
      <c r="FTW1" s="110"/>
      <c r="FTX1" s="110"/>
      <c r="FTY1" s="110"/>
      <c r="FTZ1" s="110"/>
      <c r="FUA1" s="110"/>
      <c r="FUB1" s="110"/>
      <c r="FUC1" s="110"/>
      <c r="FUD1" s="110"/>
      <c r="FUE1" s="110"/>
      <c r="FUF1" s="110"/>
      <c r="FUG1" s="110"/>
      <c r="FUH1" s="110"/>
      <c r="FUI1" s="110"/>
      <c r="FUJ1" s="110"/>
      <c r="FUK1" s="110"/>
      <c r="FUL1" s="110"/>
      <c r="FUM1" s="110"/>
      <c r="FUN1" s="110"/>
      <c r="FUO1" s="110"/>
      <c r="FUP1" s="110"/>
      <c r="FUQ1" s="110"/>
      <c r="FUR1" s="110"/>
      <c r="FUS1" s="110"/>
      <c r="FUT1" s="110"/>
      <c r="FUU1" s="110"/>
      <c r="FUV1" s="110"/>
      <c r="FUW1" s="110"/>
      <c r="FUX1" s="110"/>
      <c r="FUY1" s="110"/>
      <c r="FUZ1" s="110"/>
      <c r="FVA1" s="110"/>
      <c r="FVB1" s="110"/>
      <c r="FVC1" s="110"/>
      <c r="FVD1" s="110"/>
      <c r="FVE1" s="110"/>
      <c r="FVF1" s="110"/>
      <c r="FVG1" s="110"/>
      <c r="FVH1" s="110"/>
      <c r="FVI1" s="110"/>
      <c r="FVJ1" s="110"/>
      <c r="FVK1" s="110"/>
      <c r="FVL1" s="110"/>
      <c r="FVM1" s="110"/>
      <c r="FVN1" s="110"/>
      <c r="FVO1" s="110"/>
      <c r="FVP1" s="110"/>
      <c r="FVQ1" s="110"/>
      <c r="FVR1" s="110"/>
      <c r="FVS1" s="110"/>
      <c r="FVT1" s="110"/>
      <c r="FVU1" s="110"/>
      <c r="FVV1" s="110"/>
      <c r="FVW1" s="110"/>
      <c r="FVX1" s="110"/>
      <c r="FVY1" s="110"/>
      <c r="FVZ1" s="110"/>
      <c r="FWA1" s="110"/>
      <c r="FWB1" s="110"/>
      <c r="FWC1" s="110"/>
      <c r="FWD1" s="110"/>
      <c r="FWE1" s="110"/>
      <c r="FWF1" s="110"/>
      <c r="FWG1" s="110"/>
      <c r="FWH1" s="110"/>
      <c r="FWI1" s="110"/>
      <c r="FWJ1" s="110"/>
      <c r="FWK1" s="110"/>
      <c r="FWL1" s="110"/>
      <c r="FWM1" s="110"/>
      <c r="FWN1" s="110"/>
      <c r="FWO1" s="110"/>
      <c r="FWP1" s="110"/>
      <c r="FWQ1" s="110"/>
      <c r="FWR1" s="110"/>
      <c r="FWS1" s="110"/>
      <c r="FWT1" s="110"/>
      <c r="FWU1" s="110"/>
      <c r="FWV1" s="110"/>
      <c r="FWW1" s="110"/>
      <c r="FWX1" s="110"/>
      <c r="FWY1" s="110"/>
      <c r="FWZ1" s="110"/>
      <c r="FXA1" s="110"/>
      <c r="FXB1" s="110"/>
      <c r="FXC1" s="110"/>
      <c r="FXD1" s="110"/>
      <c r="FXE1" s="110"/>
      <c r="FXF1" s="110"/>
      <c r="FXG1" s="110"/>
      <c r="FXH1" s="110"/>
      <c r="FXI1" s="110"/>
      <c r="FXJ1" s="110"/>
      <c r="FXK1" s="110"/>
      <c r="FXL1" s="110"/>
      <c r="FXM1" s="110"/>
      <c r="FXN1" s="110"/>
      <c r="FXO1" s="110"/>
      <c r="FXP1" s="110"/>
      <c r="FXQ1" s="110"/>
      <c r="FXR1" s="110"/>
      <c r="FXS1" s="110"/>
      <c r="FXT1" s="110"/>
      <c r="FXU1" s="110"/>
      <c r="FXV1" s="110"/>
      <c r="FXW1" s="110"/>
      <c r="FXX1" s="110"/>
      <c r="FXY1" s="110"/>
      <c r="FXZ1" s="110"/>
      <c r="FYA1" s="110"/>
      <c r="FYB1" s="110"/>
      <c r="FYC1" s="110"/>
      <c r="FYD1" s="110"/>
      <c r="FYE1" s="110"/>
      <c r="FYF1" s="110"/>
      <c r="FYG1" s="110"/>
      <c r="FYH1" s="110"/>
      <c r="FYI1" s="110"/>
      <c r="FYJ1" s="110"/>
      <c r="FYK1" s="110"/>
      <c r="FYL1" s="110"/>
      <c r="FYM1" s="110"/>
      <c r="FYN1" s="110"/>
      <c r="FYO1" s="110"/>
      <c r="FYP1" s="110"/>
      <c r="FYQ1" s="110"/>
      <c r="FYR1" s="110"/>
      <c r="FYS1" s="110"/>
      <c r="FYT1" s="110"/>
      <c r="FYU1" s="110"/>
      <c r="FYV1" s="110"/>
      <c r="FYW1" s="110"/>
      <c r="FYX1" s="110"/>
      <c r="FYY1" s="110"/>
      <c r="FYZ1" s="110"/>
      <c r="FZA1" s="110"/>
      <c r="FZB1" s="110"/>
      <c r="FZC1" s="110"/>
      <c r="FZD1" s="110"/>
      <c r="FZE1" s="110"/>
      <c r="FZF1" s="110"/>
      <c r="FZG1" s="110"/>
      <c r="FZH1" s="110"/>
      <c r="FZI1" s="110"/>
      <c r="FZJ1" s="110"/>
      <c r="FZK1" s="110"/>
      <c r="FZL1" s="110"/>
      <c r="FZM1" s="110"/>
      <c r="FZN1" s="110"/>
      <c r="FZO1" s="110"/>
      <c r="FZP1" s="110"/>
      <c r="FZQ1" s="110"/>
      <c r="FZR1" s="110"/>
      <c r="FZS1" s="110"/>
      <c r="FZT1" s="110"/>
      <c r="FZU1" s="110"/>
      <c r="FZV1" s="110"/>
      <c r="FZW1" s="110"/>
      <c r="FZX1" s="110"/>
      <c r="FZY1" s="110"/>
      <c r="FZZ1" s="110"/>
      <c r="GAA1" s="110"/>
      <c r="GAB1" s="110"/>
      <c r="GAC1" s="110"/>
      <c r="GAD1" s="110"/>
      <c r="GAE1" s="110"/>
      <c r="GAF1" s="110"/>
      <c r="GAG1" s="110"/>
      <c r="GAH1" s="110"/>
      <c r="GAI1" s="110"/>
      <c r="GAJ1" s="110"/>
      <c r="GAK1" s="110"/>
      <c r="GAL1" s="110"/>
      <c r="GAM1" s="110"/>
      <c r="GAN1" s="110"/>
      <c r="GAO1" s="110"/>
      <c r="GAP1" s="110"/>
      <c r="GAQ1" s="110"/>
      <c r="GAR1" s="110"/>
      <c r="GAS1" s="110"/>
      <c r="GAT1" s="110"/>
      <c r="GAU1" s="110"/>
      <c r="GAV1" s="110"/>
      <c r="GAW1" s="110"/>
      <c r="GAX1" s="110"/>
      <c r="GAY1" s="110"/>
      <c r="GAZ1" s="110"/>
      <c r="GBA1" s="110"/>
      <c r="GBB1" s="110"/>
      <c r="GBC1" s="110"/>
      <c r="GBD1" s="110"/>
      <c r="GBE1" s="110"/>
      <c r="GBF1" s="110"/>
      <c r="GBG1" s="110"/>
      <c r="GBH1" s="110"/>
      <c r="GBI1" s="110"/>
      <c r="GBJ1" s="110"/>
      <c r="GBK1" s="110"/>
      <c r="GBL1" s="110"/>
      <c r="GBM1" s="110"/>
      <c r="GBN1" s="110"/>
      <c r="GBO1" s="110"/>
      <c r="GBP1" s="110"/>
      <c r="GBQ1" s="110"/>
      <c r="GBR1" s="110"/>
      <c r="GBS1" s="110"/>
      <c r="GBT1" s="110"/>
      <c r="GBU1" s="110"/>
      <c r="GBV1" s="110"/>
      <c r="GBW1" s="110"/>
      <c r="GBX1" s="110"/>
      <c r="GBY1" s="110"/>
      <c r="GBZ1" s="110"/>
      <c r="GCA1" s="110"/>
      <c r="GCB1" s="110"/>
      <c r="GCC1" s="110"/>
      <c r="GCD1" s="110"/>
      <c r="GCE1" s="110"/>
      <c r="GCF1" s="110"/>
      <c r="GCG1" s="110"/>
      <c r="GCH1" s="110"/>
      <c r="GCI1" s="110"/>
      <c r="GCJ1" s="110"/>
      <c r="GCK1" s="110"/>
      <c r="GCL1" s="110"/>
      <c r="GCM1" s="110"/>
      <c r="GCN1" s="110"/>
      <c r="GCO1" s="110"/>
      <c r="GCP1" s="110"/>
      <c r="GCQ1" s="110"/>
      <c r="GCR1" s="110"/>
      <c r="GCS1" s="110"/>
      <c r="GCT1" s="110"/>
      <c r="GCU1" s="110"/>
      <c r="GCV1" s="110"/>
      <c r="GCW1" s="110"/>
      <c r="GCX1" s="110"/>
      <c r="GCY1" s="110"/>
      <c r="GCZ1" s="110"/>
      <c r="GDA1" s="110"/>
      <c r="GDB1" s="110"/>
      <c r="GDC1" s="110"/>
      <c r="GDD1" s="110"/>
      <c r="GDE1" s="110"/>
      <c r="GDF1" s="110"/>
      <c r="GDG1" s="110"/>
      <c r="GDH1" s="110"/>
      <c r="GDI1" s="110"/>
      <c r="GDJ1" s="110"/>
      <c r="GDK1" s="110"/>
      <c r="GDL1" s="110"/>
      <c r="GDM1" s="110"/>
      <c r="GDN1" s="110"/>
      <c r="GDO1" s="110"/>
      <c r="GDP1" s="110"/>
      <c r="GDQ1" s="110"/>
      <c r="GDR1" s="110"/>
      <c r="GDS1" s="110"/>
      <c r="GDT1" s="110"/>
      <c r="GDU1" s="110"/>
      <c r="GDV1" s="110"/>
      <c r="GDW1" s="110"/>
      <c r="GDX1" s="110"/>
      <c r="GDY1" s="110"/>
      <c r="GDZ1" s="110"/>
      <c r="GEA1" s="110"/>
      <c r="GEB1" s="110"/>
      <c r="GEC1" s="110"/>
      <c r="GED1" s="110"/>
      <c r="GEE1" s="110"/>
      <c r="GEF1" s="110"/>
      <c r="GEG1" s="110"/>
      <c r="GEH1" s="110"/>
      <c r="GEI1" s="110"/>
      <c r="GEJ1" s="110"/>
      <c r="GEK1" s="110"/>
      <c r="GEL1" s="110"/>
      <c r="GEM1" s="110"/>
      <c r="GEN1" s="110"/>
      <c r="GEO1" s="110"/>
      <c r="GEP1" s="110"/>
      <c r="GEQ1" s="110"/>
      <c r="GER1" s="110"/>
      <c r="GES1" s="110"/>
      <c r="GET1" s="110"/>
      <c r="GEU1" s="110"/>
      <c r="GEV1" s="110"/>
      <c r="GEW1" s="110"/>
      <c r="GEX1" s="110"/>
      <c r="GEY1" s="110"/>
      <c r="GEZ1" s="110"/>
      <c r="GFA1" s="110"/>
      <c r="GFB1" s="110"/>
      <c r="GFC1" s="110"/>
      <c r="GFD1" s="110"/>
      <c r="GFE1" s="110"/>
      <c r="GFF1" s="110"/>
      <c r="GFG1" s="110"/>
      <c r="GFH1" s="110"/>
      <c r="GFI1" s="110"/>
      <c r="GFJ1" s="110"/>
      <c r="GFK1" s="110"/>
      <c r="GFL1" s="110"/>
      <c r="GFM1" s="110"/>
      <c r="GFN1" s="110"/>
      <c r="GFO1" s="110"/>
      <c r="GFP1" s="110"/>
      <c r="GFQ1" s="110"/>
      <c r="GFR1" s="110"/>
      <c r="GFS1" s="110"/>
      <c r="GFT1" s="110"/>
      <c r="GFU1" s="110"/>
      <c r="GFV1" s="110"/>
      <c r="GFW1" s="110"/>
      <c r="GFX1" s="110"/>
      <c r="GFY1" s="110"/>
      <c r="GFZ1" s="110"/>
      <c r="GGA1" s="110"/>
      <c r="GGB1" s="110"/>
      <c r="GGC1" s="110"/>
      <c r="GGD1" s="110"/>
      <c r="GGE1" s="110"/>
      <c r="GGF1" s="110"/>
      <c r="GGG1" s="110"/>
      <c r="GGH1" s="110"/>
      <c r="GGI1" s="110"/>
      <c r="GGJ1" s="110"/>
      <c r="GGK1" s="110"/>
      <c r="GGL1" s="110"/>
      <c r="GGM1" s="110"/>
      <c r="GGN1" s="110"/>
      <c r="GGO1" s="110"/>
      <c r="GGP1" s="110"/>
      <c r="GGQ1" s="110"/>
      <c r="GGR1" s="110"/>
      <c r="GGS1" s="110"/>
      <c r="GGT1" s="110"/>
      <c r="GGU1" s="110"/>
      <c r="GGV1" s="110"/>
      <c r="GGW1" s="110"/>
      <c r="GGX1" s="110"/>
      <c r="GGY1" s="110"/>
      <c r="GGZ1" s="110"/>
      <c r="GHA1" s="110"/>
      <c r="GHB1" s="110"/>
      <c r="GHC1" s="110"/>
      <c r="GHD1" s="110"/>
      <c r="GHE1" s="110"/>
      <c r="GHF1" s="110"/>
      <c r="GHG1" s="110"/>
      <c r="GHH1" s="110"/>
      <c r="GHI1" s="110"/>
      <c r="GHJ1" s="110"/>
      <c r="GHK1" s="110"/>
      <c r="GHL1" s="110"/>
      <c r="GHM1" s="110"/>
      <c r="GHN1" s="110"/>
      <c r="GHO1" s="110"/>
      <c r="GHP1" s="110"/>
      <c r="GHQ1" s="110"/>
      <c r="GHR1" s="110"/>
      <c r="GHS1" s="110"/>
      <c r="GHT1" s="110"/>
      <c r="GHU1" s="110"/>
      <c r="GHV1" s="110"/>
      <c r="GHW1" s="110"/>
      <c r="GHX1" s="110"/>
      <c r="GHY1" s="110"/>
      <c r="GHZ1" s="110"/>
      <c r="GIA1" s="110"/>
      <c r="GIB1" s="110"/>
      <c r="GIC1" s="110"/>
      <c r="GID1" s="110"/>
      <c r="GIE1" s="110"/>
      <c r="GIF1" s="110"/>
      <c r="GIG1" s="110"/>
      <c r="GIH1" s="110"/>
      <c r="GII1" s="110"/>
      <c r="GIJ1" s="110"/>
      <c r="GIK1" s="110"/>
      <c r="GIL1" s="110"/>
      <c r="GIM1" s="110"/>
      <c r="GIN1" s="110"/>
      <c r="GIO1" s="110"/>
      <c r="GIP1" s="110"/>
      <c r="GIQ1" s="110"/>
      <c r="GIR1" s="110"/>
      <c r="GIS1" s="110"/>
      <c r="GIT1" s="110"/>
      <c r="GIU1" s="110"/>
      <c r="GIV1" s="110"/>
      <c r="GIW1" s="110"/>
      <c r="GIX1" s="110"/>
      <c r="GIY1" s="110"/>
      <c r="GIZ1" s="110"/>
      <c r="GJA1" s="110"/>
      <c r="GJB1" s="110"/>
      <c r="GJC1" s="110"/>
      <c r="GJD1" s="110"/>
      <c r="GJE1" s="110"/>
      <c r="GJF1" s="110"/>
      <c r="GJG1" s="110"/>
      <c r="GJH1" s="110"/>
      <c r="GJI1" s="110"/>
      <c r="GJJ1" s="110"/>
      <c r="GJK1" s="110"/>
      <c r="GJL1" s="110"/>
      <c r="GJM1" s="110"/>
      <c r="GJN1" s="110"/>
      <c r="GJO1" s="110"/>
      <c r="GJP1" s="110"/>
      <c r="GJQ1" s="110"/>
      <c r="GJR1" s="110"/>
      <c r="GJS1" s="110"/>
      <c r="GJT1" s="110"/>
      <c r="GJU1" s="110"/>
      <c r="GJV1" s="110"/>
      <c r="GJW1" s="110"/>
      <c r="GJX1" s="110"/>
      <c r="GJY1" s="110"/>
      <c r="GJZ1" s="110"/>
      <c r="GKA1" s="110"/>
      <c r="GKB1" s="110"/>
      <c r="GKC1" s="110"/>
      <c r="GKD1" s="110"/>
      <c r="GKE1" s="110"/>
      <c r="GKF1" s="110"/>
      <c r="GKG1" s="110"/>
      <c r="GKH1" s="110"/>
      <c r="GKI1" s="110"/>
      <c r="GKJ1" s="110"/>
      <c r="GKK1" s="110"/>
      <c r="GKL1" s="110"/>
      <c r="GKM1" s="110"/>
      <c r="GKN1" s="110"/>
      <c r="GKO1" s="110"/>
      <c r="GKP1" s="110"/>
      <c r="GKQ1" s="110"/>
      <c r="GKR1" s="110"/>
      <c r="GKS1" s="110"/>
      <c r="GKT1" s="110"/>
      <c r="GKU1" s="110"/>
      <c r="GKV1" s="110"/>
      <c r="GKW1" s="110"/>
      <c r="GKX1" s="110"/>
      <c r="GKY1" s="110"/>
      <c r="GKZ1" s="110"/>
      <c r="GLA1" s="110"/>
      <c r="GLB1" s="110"/>
      <c r="GLC1" s="110"/>
      <c r="GLD1" s="110"/>
      <c r="GLE1" s="110"/>
      <c r="GLF1" s="110"/>
      <c r="GLG1" s="110"/>
      <c r="GLH1" s="110"/>
      <c r="GLI1" s="110"/>
      <c r="GLJ1" s="110"/>
      <c r="GLK1" s="110"/>
      <c r="GLL1" s="110"/>
      <c r="GLM1" s="110"/>
      <c r="GLN1" s="110"/>
      <c r="GLO1" s="110"/>
      <c r="GLP1" s="110"/>
      <c r="GLQ1" s="110"/>
      <c r="GLR1" s="110"/>
      <c r="GLS1" s="110"/>
      <c r="GLT1" s="110"/>
      <c r="GLU1" s="110"/>
      <c r="GLV1" s="110"/>
      <c r="GLW1" s="110"/>
      <c r="GLX1" s="110"/>
      <c r="GLY1" s="110"/>
      <c r="GLZ1" s="110"/>
      <c r="GMA1" s="110"/>
      <c r="GMB1" s="110"/>
      <c r="GMC1" s="110"/>
      <c r="GMD1" s="110"/>
      <c r="GME1" s="110"/>
      <c r="GMF1" s="110"/>
      <c r="GMG1" s="110"/>
      <c r="GMH1" s="110"/>
      <c r="GMI1" s="110"/>
      <c r="GMJ1" s="110"/>
      <c r="GMK1" s="110"/>
      <c r="GML1" s="110"/>
      <c r="GMM1" s="110"/>
      <c r="GMN1" s="110"/>
      <c r="GMO1" s="110"/>
      <c r="GMP1" s="110"/>
      <c r="GMQ1" s="110"/>
      <c r="GMR1" s="110"/>
      <c r="GMS1" s="110"/>
      <c r="GMT1" s="110"/>
      <c r="GMU1" s="110"/>
      <c r="GMV1" s="110"/>
      <c r="GMW1" s="110"/>
      <c r="GMX1" s="110"/>
      <c r="GMY1" s="110"/>
      <c r="GMZ1" s="110"/>
      <c r="GNA1" s="110"/>
      <c r="GNB1" s="110"/>
      <c r="GNC1" s="110"/>
      <c r="GND1" s="110"/>
      <c r="GNE1" s="110"/>
      <c r="GNF1" s="110"/>
      <c r="GNG1" s="110"/>
      <c r="GNH1" s="110"/>
      <c r="GNI1" s="110"/>
      <c r="GNJ1" s="110"/>
      <c r="GNK1" s="110"/>
      <c r="GNL1" s="110"/>
      <c r="GNM1" s="110"/>
      <c r="GNN1" s="110"/>
      <c r="GNO1" s="110"/>
      <c r="GNP1" s="110"/>
      <c r="GNQ1" s="110"/>
      <c r="GNR1" s="110"/>
      <c r="GNS1" s="110"/>
      <c r="GNT1" s="110"/>
      <c r="GNU1" s="110"/>
      <c r="GNV1" s="110"/>
      <c r="GNW1" s="110"/>
      <c r="GNX1" s="110"/>
      <c r="GNY1" s="110"/>
      <c r="GNZ1" s="110"/>
      <c r="GOA1" s="110"/>
      <c r="GOB1" s="110"/>
      <c r="GOC1" s="110"/>
      <c r="GOD1" s="110"/>
      <c r="GOE1" s="110"/>
      <c r="GOF1" s="110"/>
      <c r="GOG1" s="110"/>
      <c r="GOH1" s="110"/>
      <c r="GOI1" s="110"/>
      <c r="GOJ1" s="110"/>
      <c r="GOK1" s="110"/>
      <c r="GOL1" s="110"/>
      <c r="GOM1" s="110"/>
      <c r="GON1" s="110"/>
      <c r="GOO1" s="110"/>
      <c r="GOP1" s="110"/>
      <c r="GOQ1" s="110"/>
      <c r="GOR1" s="110"/>
      <c r="GOS1" s="110"/>
      <c r="GOT1" s="110"/>
      <c r="GOU1" s="110"/>
      <c r="GOV1" s="110"/>
      <c r="GOW1" s="110"/>
      <c r="GOX1" s="110"/>
      <c r="GOY1" s="110"/>
      <c r="GOZ1" s="110"/>
      <c r="GPA1" s="110"/>
      <c r="GPB1" s="110"/>
      <c r="GPC1" s="110"/>
      <c r="GPD1" s="110"/>
      <c r="GPE1" s="110"/>
      <c r="GPF1" s="110"/>
      <c r="GPG1" s="110"/>
      <c r="GPH1" s="110"/>
      <c r="GPI1" s="110"/>
      <c r="GPJ1" s="110"/>
      <c r="GPK1" s="110"/>
      <c r="GPL1" s="110"/>
      <c r="GPM1" s="110"/>
      <c r="GPN1" s="110"/>
      <c r="GPO1" s="110"/>
      <c r="GPP1" s="110"/>
      <c r="GPQ1" s="110"/>
      <c r="GPR1" s="110"/>
      <c r="GPS1" s="110"/>
      <c r="GPT1" s="110"/>
      <c r="GPU1" s="110"/>
      <c r="GPV1" s="110"/>
      <c r="GPW1" s="110"/>
      <c r="GPX1" s="110"/>
      <c r="GPY1" s="110"/>
      <c r="GPZ1" s="110"/>
      <c r="GQA1" s="110"/>
      <c r="GQB1" s="110"/>
      <c r="GQC1" s="110"/>
      <c r="GQD1" s="110"/>
      <c r="GQE1" s="110"/>
      <c r="GQF1" s="110"/>
      <c r="GQG1" s="110"/>
      <c r="GQH1" s="110"/>
      <c r="GQI1" s="110"/>
      <c r="GQJ1" s="110"/>
      <c r="GQK1" s="110"/>
      <c r="GQL1" s="110"/>
      <c r="GQM1" s="110"/>
      <c r="GQN1" s="110"/>
      <c r="GQO1" s="110"/>
      <c r="GQP1" s="110"/>
      <c r="GQQ1" s="110"/>
      <c r="GQR1" s="110"/>
      <c r="GQS1" s="110"/>
      <c r="GQT1" s="110"/>
      <c r="GQU1" s="110"/>
      <c r="GQV1" s="110"/>
      <c r="GQW1" s="110"/>
      <c r="GQX1" s="110"/>
      <c r="GQY1" s="110"/>
      <c r="GQZ1" s="110"/>
      <c r="GRA1" s="110"/>
      <c r="GRB1" s="110"/>
      <c r="GRC1" s="110"/>
      <c r="GRD1" s="110"/>
      <c r="GRE1" s="110"/>
      <c r="GRF1" s="110"/>
      <c r="GRG1" s="110"/>
      <c r="GRH1" s="110"/>
      <c r="GRI1" s="110"/>
      <c r="GRJ1" s="110"/>
      <c r="GRK1" s="110"/>
      <c r="GRL1" s="110"/>
      <c r="GRM1" s="110"/>
      <c r="GRN1" s="110"/>
      <c r="GRO1" s="110"/>
      <c r="GRP1" s="110"/>
      <c r="GRQ1" s="110"/>
      <c r="GRR1" s="110"/>
      <c r="GRS1" s="110"/>
      <c r="GRT1" s="110"/>
      <c r="GRU1" s="110"/>
      <c r="GRV1" s="110"/>
      <c r="GRW1" s="110"/>
      <c r="GRX1" s="110"/>
      <c r="GRY1" s="110"/>
      <c r="GRZ1" s="110"/>
      <c r="GSA1" s="110"/>
      <c r="GSB1" s="110"/>
      <c r="GSC1" s="110"/>
      <c r="GSD1" s="110"/>
      <c r="GSE1" s="110"/>
      <c r="GSF1" s="110"/>
      <c r="GSG1" s="110"/>
      <c r="GSH1" s="110"/>
      <c r="GSI1" s="110"/>
      <c r="GSJ1" s="110"/>
      <c r="GSK1" s="110"/>
      <c r="GSL1" s="110"/>
      <c r="GSM1" s="110"/>
      <c r="GSN1" s="110"/>
      <c r="GSO1" s="110"/>
      <c r="GSP1" s="110"/>
      <c r="GSQ1" s="110"/>
      <c r="GSR1" s="110"/>
      <c r="GSS1" s="110"/>
      <c r="GST1" s="110"/>
      <c r="GSU1" s="110"/>
      <c r="GSV1" s="110"/>
      <c r="GSW1" s="110"/>
      <c r="GSX1" s="110"/>
      <c r="GSY1" s="110"/>
      <c r="GSZ1" s="110"/>
      <c r="GTA1" s="110"/>
      <c r="GTB1" s="110"/>
      <c r="GTC1" s="110"/>
      <c r="GTD1" s="110"/>
      <c r="GTE1" s="110"/>
      <c r="GTF1" s="110"/>
      <c r="GTG1" s="110"/>
      <c r="GTH1" s="110"/>
      <c r="GTI1" s="110"/>
      <c r="GTJ1" s="110"/>
      <c r="GTK1" s="110"/>
      <c r="GTL1" s="110"/>
      <c r="GTM1" s="110"/>
      <c r="GTN1" s="110"/>
      <c r="GTO1" s="110"/>
      <c r="GTP1" s="110"/>
      <c r="GTQ1" s="110"/>
      <c r="GTR1" s="110"/>
      <c r="GTS1" s="110"/>
      <c r="GTT1" s="110"/>
      <c r="GTU1" s="110"/>
      <c r="GTV1" s="110"/>
      <c r="GTW1" s="110"/>
      <c r="GTX1" s="110"/>
      <c r="GTY1" s="110"/>
      <c r="GTZ1" s="110"/>
      <c r="GUA1" s="110"/>
      <c r="GUB1" s="110"/>
      <c r="GUC1" s="110"/>
      <c r="GUD1" s="110"/>
      <c r="GUE1" s="110"/>
      <c r="GUF1" s="110"/>
      <c r="GUG1" s="110"/>
      <c r="GUH1" s="110"/>
      <c r="GUI1" s="110"/>
      <c r="GUJ1" s="110"/>
      <c r="GUK1" s="110"/>
      <c r="GUL1" s="110"/>
      <c r="GUM1" s="110"/>
      <c r="GUN1" s="110"/>
      <c r="GUO1" s="110"/>
      <c r="GUP1" s="110"/>
      <c r="GUQ1" s="110"/>
      <c r="GUR1" s="110"/>
      <c r="GUS1" s="110"/>
      <c r="GUT1" s="110"/>
      <c r="GUU1" s="110"/>
      <c r="GUV1" s="110"/>
      <c r="GUW1" s="110"/>
      <c r="GUX1" s="110"/>
      <c r="GUY1" s="110"/>
      <c r="GUZ1" s="110"/>
      <c r="GVA1" s="110"/>
      <c r="GVB1" s="110"/>
      <c r="GVC1" s="110"/>
      <c r="GVD1" s="110"/>
      <c r="GVE1" s="110"/>
      <c r="GVF1" s="110"/>
      <c r="GVG1" s="110"/>
      <c r="GVH1" s="110"/>
      <c r="GVI1" s="110"/>
      <c r="GVJ1" s="110"/>
      <c r="GVK1" s="110"/>
      <c r="GVL1" s="110"/>
      <c r="GVM1" s="110"/>
      <c r="GVN1" s="110"/>
      <c r="GVO1" s="110"/>
      <c r="GVP1" s="110"/>
      <c r="GVQ1" s="110"/>
      <c r="GVR1" s="110"/>
      <c r="GVS1" s="110"/>
      <c r="GVT1" s="110"/>
      <c r="GVU1" s="110"/>
      <c r="GVV1" s="110"/>
      <c r="GVW1" s="110"/>
      <c r="GVX1" s="110"/>
      <c r="GVY1" s="110"/>
      <c r="GVZ1" s="110"/>
      <c r="GWA1" s="110"/>
      <c r="GWB1" s="110"/>
      <c r="GWC1" s="110"/>
      <c r="GWD1" s="110"/>
      <c r="GWE1" s="110"/>
      <c r="GWF1" s="110"/>
      <c r="GWG1" s="110"/>
      <c r="GWH1" s="110"/>
      <c r="GWI1" s="110"/>
      <c r="GWJ1" s="110"/>
      <c r="GWK1" s="110"/>
      <c r="GWL1" s="110"/>
      <c r="GWM1" s="110"/>
      <c r="GWN1" s="110"/>
      <c r="GWO1" s="110"/>
      <c r="GWP1" s="110"/>
      <c r="GWQ1" s="110"/>
      <c r="GWR1" s="110"/>
      <c r="GWS1" s="110"/>
      <c r="GWT1" s="110"/>
      <c r="GWU1" s="110"/>
      <c r="GWV1" s="110"/>
      <c r="GWW1" s="110"/>
      <c r="GWX1" s="110"/>
      <c r="GWY1" s="110"/>
      <c r="GWZ1" s="110"/>
      <c r="GXA1" s="110"/>
      <c r="GXB1" s="110"/>
      <c r="GXC1" s="110"/>
      <c r="GXD1" s="110"/>
      <c r="GXE1" s="110"/>
      <c r="GXF1" s="110"/>
      <c r="GXG1" s="110"/>
      <c r="GXH1" s="110"/>
      <c r="GXI1" s="110"/>
      <c r="GXJ1" s="110"/>
      <c r="GXK1" s="110"/>
      <c r="GXL1" s="110"/>
      <c r="GXM1" s="110"/>
      <c r="GXN1" s="110"/>
      <c r="GXO1" s="110"/>
      <c r="GXP1" s="110"/>
      <c r="GXQ1" s="110"/>
      <c r="GXR1" s="110"/>
      <c r="GXS1" s="110"/>
      <c r="GXT1" s="110"/>
      <c r="GXU1" s="110"/>
      <c r="GXV1" s="110"/>
      <c r="GXW1" s="110"/>
      <c r="GXX1" s="110"/>
      <c r="GXY1" s="110"/>
      <c r="GXZ1" s="110"/>
      <c r="GYA1" s="110"/>
      <c r="GYB1" s="110"/>
      <c r="GYC1" s="110"/>
      <c r="GYD1" s="110"/>
      <c r="GYE1" s="110"/>
      <c r="GYF1" s="110"/>
      <c r="GYG1" s="110"/>
      <c r="GYH1" s="110"/>
      <c r="GYI1" s="110"/>
      <c r="GYJ1" s="110"/>
      <c r="GYK1" s="110"/>
      <c r="GYL1" s="110"/>
      <c r="GYM1" s="110"/>
      <c r="GYN1" s="110"/>
      <c r="GYO1" s="110"/>
      <c r="GYP1" s="110"/>
      <c r="GYQ1" s="110"/>
      <c r="GYR1" s="110"/>
      <c r="GYS1" s="110"/>
      <c r="GYT1" s="110"/>
      <c r="GYU1" s="110"/>
      <c r="GYV1" s="110"/>
      <c r="GYW1" s="110"/>
      <c r="GYX1" s="110"/>
      <c r="GYY1" s="110"/>
      <c r="GYZ1" s="110"/>
      <c r="GZA1" s="110"/>
      <c r="GZB1" s="110"/>
      <c r="GZC1" s="110"/>
      <c r="GZD1" s="110"/>
      <c r="GZE1" s="110"/>
      <c r="GZF1" s="110"/>
      <c r="GZG1" s="110"/>
      <c r="GZH1" s="110"/>
      <c r="GZI1" s="110"/>
      <c r="GZJ1" s="110"/>
      <c r="GZK1" s="110"/>
      <c r="GZL1" s="110"/>
      <c r="GZM1" s="110"/>
      <c r="GZN1" s="110"/>
      <c r="GZO1" s="110"/>
      <c r="GZP1" s="110"/>
      <c r="GZQ1" s="110"/>
      <c r="GZR1" s="110"/>
      <c r="GZS1" s="110"/>
      <c r="GZT1" s="110"/>
      <c r="GZU1" s="110"/>
      <c r="GZV1" s="110"/>
      <c r="GZW1" s="110"/>
      <c r="GZX1" s="110"/>
      <c r="GZY1" s="110"/>
      <c r="GZZ1" s="110"/>
      <c r="HAA1" s="110"/>
      <c r="HAB1" s="110"/>
      <c r="HAC1" s="110"/>
      <c r="HAD1" s="110"/>
      <c r="HAE1" s="110"/>
      <c r="HAF1" s="110"/>
      <c r="HAG1" s="110"/>
      <c r="HAH1" s="110"/>
      <c r="HAI1" s="110"/>
      <c r="HAJ1" s="110"/>
      <c r="HAK1" s="110"/>
      <c r="HAL1" s="110"/>
      <c r="HAM1" s="110"/>
      <c r="HAN1" s="110"/>
      <c r="HAO1" s="110"/>
      <c r="HAP1" s="110"/>
      <c r="HAQ1" s="110"/>
      <c r="HAR1" s="110"/>
      <c r="HAS1" s="110"/>
      <c r="HAT1" s="110"/>
      <c r="HAU1" s="110"/>
      <c r="HAV1" s="110"/>
      <c r="HAW1" s="110"/>
      <c r="HAX1" s="110"/>
      <c r="HAY1" s="110"/>
      <c r="HAZ1" s="110"/>
      <c r="HBA1" s="110"/>
      <c r="HBB1" s="110"/>
      <c r="HBC1" s="110"/>
      <c r="HBD1" s="110"/>
      <c r="HBE1" s="110"/>
      <c r="HBF1" s="110"/>
      <c r="HBG1" s="110"/>
      <c r="HBH1" s="110"/>
      <c r="HBI1" s="110"/>
      <c r="HBJ1" s="110"/>
      <c r="HBK1" s="110"/>
      <c r="HBL1" s="110"/>
      <c r="HBM1" s="110"/>
      <c r="HBN1" s="110"/>
      <c r="HBO1" s="110"/>
      <c r="HBP1" s="110"/>
      <c r="HBQ1" s="110"/>
      <c r="HBR1" s="110"/>
      <c r="HBS1" s="110"/>
      <c r="HBT1" s="110"/>
      <c r="HBU1" s="110"/>
      <c r="HBV1" s="110"/>
      <c r="HBW1" s="110"/>
      <c r="HBX1" s="110"/>
      <c r="HBY1" s="110"/>
      <c r="HBZ1" s="110"/>
      <c r="HCA1" s="110"/>
      <c r="HCB1" s="110"/>
      <c r="HCC1" s="110"/>
      <c r="HCD1" s="110"/>
      <c r="HCE1" s="110"/>
      <c r="HCF1" s="110"/>
      <c r="HCG1" s="110"/>
      <c r="HCH1" s="110"/>
      <c r="HCI1" s="110"/>
      <c r="HCJ1" s="110"/>
      <c r="HCK1" s="110"/>
      <c r="HCL1" s="110"/>
      <c r="HCM1" s="110"/>
      <c r="HCN1" s="110"/>
      <c r="HCO1" s="110"/>
      <c r="HCP1" s="110"/>
      <c r="HCQ1" s="110"/>
      <c r="HCR1" s="110"/>
      <c r="HCS1" s="110"/>
      <c r="HCT1" s="110"/>
      <c r="HCU1" s="110"/>
      <c r="HCV1" s="110"/>
      <c r="HCW1" s="110"/>
      <c r="HCX1" s="110"/>
      <c r="HCY1" s="110"/>
      <c r="HCZ1" s="110"/>
      <c r="HDA1" s="110"/>
      <c r="HDB1" s="110"/>
      <c r="HDC1" s="110"/>
      <c r="HDD1" s="110"/>
      <c r="HDE1" s="110"/>
      <c r="HDF1" s="110"/>
      <c r="HDG1" s="110"/>
      <c r="HDH1" s="110"/>
      <c r="HDI1" s="110"/>
      <c r="HDJ1" s="110"/>
      <c r="HDK1" s="110"/>
      <c r="HDL1" s="110"/>
      <c r="HDM1" s="110"/>
      <c r="HDN1" s="110"/>
      <c r="HDO1" s="110"/>
      <c r="HDP1" s="110"/>
      <c r="HDQ1" s="110"/>
      <c r="HDR1" s="110"/>
      <c r="HDS1" s="110"/>
      <c r="HDT1" s="110"/>
      <c r="HDU1" s="110"/>
      <c r="HDV1" s="110"/>
      <c r="HDW1" s="110"/>
      <c r="HDX1" s="110"/>
      <c r="HDY1" s="110"/>
      <c r="HDZ1" s="110"/>
      <c r="HEA1" s="110"/>
      <c r="HEB1" s="110"/>
      <c r="HEC1" s="110"/>
      <c r="HED1" s="110"/>
      <c r="HEE1" s="110"/>
      <c r="HEF1" s="110"/>
      <c r="HEG1" s="110"/>
      <c r="HEH1" s="110"/>
      <c r="HEI1" s="110"/>
      <c r="HEJ1" s="110"/>
      <c r="HEK1" s="110"/>
      <c r="HEL1" s="110"/>
      <c r="HEM1" s="110"/>
      <c r="HEN1" s="110"/>
      <c r="HEO1" s="110"/>
      <c r="HEP1" s="110"/>
      <c r="HEQ1" s="110"/>
      <c r="HER1" s="110"/>
      <c r="HES1" s="110"/>
      <c r="HET1" s="110"/>
      <c r="HEU1" s="110"/>
      <c r="HEV1" s="110"/>
      <c r="HEW1" s="110"/>
      <c r="HEX1" s="110"/>
      <c r="HEY1" s="110"/>
      <c r="HEZ1" s="110"/>
      <c r="HFA1" s="110"/>
      <c r="HFB1" s="110"/>
      <c r="HFC1" s="110"/>
      <c r="HFD1" s="110"/>
      <c r="HFE1" s="110"/>
      <c r="HFF1" s="110"/>
      <c r="HFG1" s="110"/>
      <c r="HFH1" s="110"/>
      <c r="HFI1" s="110"/>
      <c r="HFJ1" s="110"/>
      <c r="HFK1" s="110"/>
      <c r="HFL1" s="110"/>
      <c r="HFM1" s="110"/>
      <c r="HFN1" s="110"/>
      <c r="HFO1" s="110"/>
      <c r="HFP1" s="110"/>
      <c r="HFQ1" s="110"/>
      <c r="HFR1" s="110"/>
      <c r="HFS1" s="110"/>
      <c r="HFT1" s="110"/>
      <c r="HFU1" s="110"/>
      <c r="HFV1" s="110"/>
      <c r="HFW1" s="110"/>
      <c r="HFX1" s="110"/>
      <c r="HFY1" s="110"/>
      <c r="HFZ1" s="110"/>
      <c r="HGA1" s="110"/>
      <c r="HGB1" s="110"/>
      <c r="HGC1" s="110"/>
      <c r="HGD1" s="110"/>
      <c r="HGE1" s="110"/>
      <c r="HGF1" s="110"/>
      <c r="HGG1" s="110"/>
      <c r="HGH1" s="110"/>
      <c r="HGI1" s="110"/>
      <c r="HGJ1" s="110"/>
      <c r="HGK1" s="110"/>
      <c r="HGL1" s="110"/>
      <c r="HGM1" s="110"/>
      <c r="HGN1" s="110"/>
      <c r="HGO1" s="110"/>
      <c r="HGP1" s="110"/>
      <c r="HGQ1" s="110"/>
      <c r="HGR1" s="110"/>
      <c r="HGS1" s="110"/>
      <c r="HGT1" s="110"/>
      <c r="HGU1" s="110"/>
      <c r="HGV1" s="110"/>
      <c r="HGW1" s="110"/>
      <c r="HGX1" s="110"/>
      <c r="HGY1" s="110"/>
      <c r="HGZ1" s="110"/>
      <c r="HHA1" s="110"/>
      <c r="HHB1" s="110"/>
      <c r="HHC1" s="110"/>
      <c r="HHD1" s="110"/>
      <c r="HHE1" s="110"/>
      <c r="HHF1" s="110"/>
      <c r="HHG1" s="110"/>
      <c r="HHH1" s="110"/>
      <c r="HHI1" s="110"/>
      <c r="HHJ1" s="110"/>
      <c r="HHK1" s="110"/>
      <c r="HHL1" s="110"/>
      <c r="HHM1" s="110"/>
      <c r="HHN1" s="110"/>
      <c r="HHO1" s="110"/>
      <c r="HHP1" s="110"/>
      <c r="HHQ1" s="110"/>
      <c r="HHR1" s="110"/>
      <c r="HHS1" s="110"/>
      <c r="HHT1" s="110"/>
      <c r="HHU1" s="110"/>
      <c r="HHV1" s="110"/>
      <c r="HHW1" s="110"/>
      <c r="HHX1" s="110"/>
      <c r="HHY1" s="110"/>
      <c r="HHZ1" s="110"/>
      <c r="HIA1" s="110"/>
      <c r="HIB1" s="110"/>
      <c r="HIC1" s="110"/>
      <c r="HID1" s="110"/>
      <c r="HIE1" s="110"/>
      <c r="HIF1" s="110"/>
      <c r="HIG1" s="110"/>
      <c r="HIH1" s="110"/>
      <c r="HII1" s="110"/>
      <c r="HIJ1" s="110"/>
      <c r="HIK1" s="110"/>
      <c r="HIL1" s="110"/>
      <c r="HIM1" s="110"/>
      <c r="HIN1" s="110"/>
      <c r="HIO1" s="110"/>
      <c r="HIP1" s="110"/>
      <c r="HIQ1" s="110"/>
      <c r="HIR1" s="110"/>
      <c r="HIS1" s="110"/>
      <c r="HIT1" s="110"/>
      <c r="HIU1" s="110"/>
      <c r="HIV1" s="110"/>
      <c r="HIW1" s="110"/>
      <c r="HIX1" s="110"/>
      <c r="HIY1" s="110"/>
      <c r="HIZ1" s="110"/>
      <c r="HJA1" s="110"/>
      <c r="HJB1" s="110"/>
      <c r="HJC1" s="110"/>
      <c r="HJD1" s="110"/>
      <c r="HJE1" s="110"/>
      <c r="HJF1" s="110"/>
      <c r="HJG1" s="110"/>
      <c r="HJH1" s="110"/>
      <c r="HJI1" s="110"/>
      <c r="HJJ1" s="110"/>
      <c r="HJK1" s="110"/>
      <c r="HJL1" s="110"/>
      <c r="HJM1" s="110"/>
      <c r="HJN1" s="110"/>
      <c r="HJO1" s="110"/>
      <c r="HJP1" s="110"/>
      <c r="HJQ1" s="110"/>
      <c r="HJR1" s="110"/>
      <c r="HJS1" s="110"/>
      <c r="HJT1" s="110"/>
      <c r="HJU1" s="110"/>
      <c r="HJV1" s="110"/>
      <c r="HJW1" s="110"/>
      <c r="HJX1" s="110"/>
      <c r="HJY1" s="110"/>
      <c r="HJZ1" s="110"/>
      <c r="HKA1" s="110"/>
      <c r="HKB1" s="110"/>
      <c r="HKC1" s="110"/>
      <c r="HKD1" s="110"/>
      <c r="HKE1" s="110"/>
      <c r="HKF1" s="110"/>
      <c r="HKG1" s="110"/>
      <c r="HKH1" s="110"/>
      <c r="HKI1" s="110"/>
      <c r="HKJ1" s="110"/>
      <c r="HKK1" s="110"/>
      <c r="HKL1" s="110"/>
      <c r="HKM1" s="110"/>
      <c r="HKN1" s="110"/>
      <c r="HKO1" s="110"/>
      <c r="HKP1" s="110"/>
      <c r="HKQ1" s="110"/>
      <c r="HKR1" s="110"/>
      <c r="HKS1" s="110"/>
      <c r="HKT1" s="110"/>
      <c r="HKU1" s="110"/>
      <c r="HKV1" s="110"/>
      <c r="HKW1" s="110"/>
      <c r="HKX1" s="110"/>
      <c r="HKY1" s="110"/>
      <c r="HKZ1" s="110"/>
      <c r="HLA1" s="110"/>
      <c r="HLB1" s="110"/>
      <c r="HLC1" s="110"/>
      <c r="HLD1" s="110"/>
      <c r="HLE1" s="110"/>
      <c r="HLF1" s="110"/>
      <c r="HLG1" s="110"/>
      <c r="HLH1" s="110"/>
      <c r="HLI1" s="110"/>
      <c r="HLJ1" s="110"/>
      <c r="HLK1" s="110"/>
      <c r="HLL1" s="110"/>
      <c r="HLM1" s="110"/>
      <c r="HLN1" s="110"/>
      <c r="HLO1" s="110"/>
      <c r="HLP1" s="110"/>
      <c r="HLQ1" s="110"/>
      <c r="HLR1" s="110"/>
      <c r="HLS1" s="110"/>
      <c r="HLT1" s="110"/>
      <c r="HLU1" s="110"/>
      <c r="HLV1" s="110"/>
      <c r="HLW1" s="110"/>
      <c r="HLX1" s="110"/>
      <c r="HLY1" s="110"/>
      <c r="HLZ1" s="110"/>
      <c r="HMA1" s="110"/>
      <c r="HMB1" s="110"/>
      <c r="HMC1" s="110"/>
      <c r="HMD1" s="110"/>
      <c r="HME1" s="110"/>
      <c r="HMF1" s="110"/>
      <c r="HMG1" s="110"/>
      <c r="HMH1" s="110"/>
      <c r="HMI1" s="110"/>
      <c r="HMJ1" s="110"/>
      <c r="HMK1" s="110"/>
      <c r="HML1" s="110"/>
      <c r="HMM1" s="110"/>
      <c r="HMN1" s="110"/>
      <c r="HMO1" s="110"/>
      <c r="HMP1" s="110"/>
      <c r="HMQ1" s="110"/>
      <c r="HMR1" s="110"/>
      <c r="HMS1" s="110"/>
      <c r="HMT1" s="110"/>
      <c r="HMU1" s="110"/>
      <c r="HMV1" s="110"/>
      <c r="HMW1" s="110"/>
      <c r="HMX1" s="110"/>
      <c r="HMY1" s="110"/>
      <c r="HMZ1" s="110"/>
      <c r="HNA1" s="110"/>
      <c r="HNB1" s="110"/>
      <c r="HNC1" s="110"/>
      <c r="HND1" s="110"/>
      <c r="HNE1" s="110"/>
      <c r="HNF1" s="110"/>
      <c r="HNG1" s="110"/>
      <c r="HNH1" s="110"/>
      <c r="HNI1" s="110"/>
      <c r="HNJ1" s="110"/>
      <c r="HNK1" s="110"/>
      <c r="HNL1" s="110"/>
      <c r="HNM1" s="110"/>
      <c r="HNN1" s="110"/>
      <c r="HNO1" s="110"/>
      <c r="HNP1" s="110"/>
      <c r="HNQ1" s="110"/>
      <c r="HNR1" s="110"/>
      <c r="HNS1" s="110"/>
      <c r="HNT1" s="110"/>
      <c r="HNU1" s="110"/>
      <c r="HNV1" s="110"/>
      <c r="HNW1" s="110"/>
      <c r="HNX1" s="110"/>
      <c r="HNY1" s="110"/>
      <c r="HNZ1" s="110"/>
      <c r="HOA1" s="110"/>
      <c r="HOB1" s="110"/>
      <c r="HOC1" s="110"/>
      <c r="HOD1" s="110"/>
      <c r="HOE1" s="110"/>
      <c r="HOF1" s="110"/>
      <c r="HOG1" s="110"/>
      <c r="HOH1" s="110"/>
      <c r="HOI1" s="110"/>
      <c r="HOJ1" s="110"/>
      <c r="HOK1" s="110"/>
      <c r="HOL1" s="110"/>
      <c r="HOM1" s="110"/>
      <c r="HON1" s="110"/>
      <c r="HOO1" s="110"/>
      <c r="HOP1" s="110"/>
      <c r="HOQ1" s="110"/>
      <c r="HOR1" s="110"/>
      <c r="HOS1" s="110"/>
      <c r="HOT1" s="110"/>
      <c r="HOU1" s="110"/>
      <c r="HOV1" s="110"/>
      <c r="HOW1" s="110"/>
      <c r="HOX1" s="110"/>
      <c r="HOY1" s="110"/>
      <c r="HOZ1" s="110"/>
      <c r="HPA1" s="110"/>
      <c r="HPB1" s="110"/>
      <c r="HPC1" s="110"/>
      <c r="HPD1" s="110"/>
      <c r="HPE1" s="110"/>
      <c r="HPF1" s="110"/>
      <c r="HPG1" s="110"/>
      <c r="HPH1" s="110"/>
      <c r="HPI1" s="110"/>
      <c r="HPJ1" s="110"/>
      <c r="HPK1" s="110"/>
      <c r="HPL1" s="110"/>
      <c r="HPM1" s="110"/>
      <c r="HPN1" s="110"/>
      <c r="HPO1" s="110"/>
      <c r="HPP1" s="110"/>
      <c r="HPQ1" s="110"/>
      <c r="HPR1" s="110"/>
      <c r="HPS1" s="110"/>
      <c r="HPT1" s="110"/>
      <c r="HPU1" s="110"/>
      <c r="HPV1" s="110"/>
      <c r="HPW1" s="110"/>
      <c r="HPX1" s="110"/>
      <c r="HPY1" s="110"/>
      <c r="HPZ1" s="110"/>
      <c r="HQA1" s="110"/>
      <c r="HQB1" s="110"/>
      <c r="HQC1" s="110"/>
      <c r="HQD1" s="110"/>
      <c r="HQE1" s="110"/>
      <c r="HQF1" s="110"/>
      <c r="HQG1" s="110"/>
      <c r="HQH1" s="110"/>
      <c r="HQI1" s="110"/>
      <c r="HQJ1" s="110"/>
      <c r="HQK1" s="110"/>
      <c r="HQL1" s="110"/>
      <c r="HQM1" s="110"/>
      <c r="HQN1" s="110"/>
      <c r="HQO1" s="110"/>
      <c r="HQP1" s="110"/>
      <c r="HQQ1" s="110"/>
      <c r="HQR1" s="110"/>
      <c r="HQS1" s="110"/>
      <c r="HQT1" s="110"/>
      <c r="HQU1" s="110"/>
      <c r="HQV1" s="110"/>
      <c r="HQW1" s="110"/>
      <c r="HQX1" s="110"/>
      <c r="HQY1" s="110"/>
      <c r="HQZ1" s="110"/>
      <c r="HRA1" s="110"/>
      <c r="HRB1" s="110"/>
      <c r="HRC1" s="110"/>
      <c r="HRD1" s="110"/>
      <c r="HRE1" s="110"/>
      <c r="HRF1" s="110"/>
      <c r="HRG1" s="110"/>
      <c r="HRH1" s="110"/>
      <c r="HRI1" s="110"/>
      <c r="HRJ1" s="110"/>
      <c r="HRK1" s="110"/>
      <c r="HRL1" s="110"/>
      <c r="HRM1" s="110"/>
      <c r="HRN1" s="110"/>
      <c r="HRO1" s="110"/>
      <c r="HRP1" s="110"/>
      <c r="HRQ1" s="110"/>
      <c r="HRR1" s="110"/>
      <c r="HRS1" s="110"/>
      <c r="HRT1" s="110"/>
      <c r="HRU1" s="110"/>
      <c r="HRV1" s="110"/>
      <c r="HRW1" s="110"/>
      <c r="HRX1" s="110"/>
      <c r="HRY1" s="110"/>
      <c r="HRZ1" s="110"/>
      <c r="HSA1" s="110"/>
      <c r="HSB1" s="110"/>
      <c r="HSC1" s="110"/>
      <c r="HSD1" s="110"/>
      <c r="HSE1" s="110"/>
      <c r="HSF1" s="110"/>
      <c r="HSG1" s="110"/>
      <c r="HSH1" s="110"/>
      <c r="HSI1" s="110"/>
      <c r="HSJ1" s="110"/>
      <c r="HSK1" s="110"/>
      <c r="HSL1" s="110"/>
      <c r="HSM1" s="110"/>
      <c r="HSN1" s="110"/>
      <c r="HSO1" s="110"/>
      <c r="HSP1" s="110"/>
      <c r="HSQ1" s="110"/>
      <c r="HSR1" s="110"/>
      <c r="HSS1" s="110"/>
      <c r="HST1" s="110"/>
      <c r="HSU1" s="110"/>
      <c r="HSV1" s="110"/>
      <c r="HSW1" s="110"/>
      <c r="HSX1" s="110"/>
      <c r="HSY1" s="110"/>
      <c r="HSZ1" s="110"/>
      <c r="HTA1" s="110"/>
      <c r="HTB1" s="110"/>
      <c r="HTC1" s="110"/>
      <c r="HTD1" s="110"/>
      <c r="HTE1" s="110"/>
      <c r="HTF1" s="110"/>
      <c r="HTG1" s="110"/>
      <c r="HTH1" s="110"/>
      <c r="HTI1" s="110"/>
      <c r="HTJ1" s="110"/>
      <c r="HTK1" s="110"/>
      <c r="HTL1" s="110"/>
      <c r="HTM1" s="110"/>
      <c r="HTN1" s="110"/>
      <c r="HTO1" s="110"/>
      <c r="HTP1" s="110"/>
      <c r="HTQ1" s="110"/>
      <c r="HTR1" s="110"/>
      <c r="HTS1" s="110"/>
      <c r="HTT1" s="110"/>
      <c r="HTU1" s="110"/>
      <c r="HTV1" s="110"/>
      <c r="HTW1" s="110"/>
      <c r="HTX1" s="110"/>
      <c r="HTY1" s="110"/>
      <c r="HTZ1" s="110"/>
      <c r="HUA1" s="110"/>
      <c r="HUB1" s="110"/>
      <c r="HUC1" s="110"/>
      <c r="HUD1" s="110"/>
      <c r="HUE1" s="110"/>
      <c r="HUF1" s="110"/>
      <c r="HUG1" s="110"/>
      <c r="HUH1" s="110"/>
      <c r="HUI1" s="110"/>
      <c r="HUJ1" s="110"/>
      <c r="HUK1" s="110"/>
      <c r="HUL1" s="110"/>
      <c r="HUM1" s="110"/>
      <c r="HUN1" s="110"/>
      <c r="HUO1" s="110"/>
      <c r="HUP1" s="110"/>
      <c r="HUQ1" s="110"/>
      <c r="HUR1" s="110"/>
      <c r="HUS1" s="110"/>
      <c r="HUT1" s="110"/>
      <c r="HUU1" s="110"/>
      <c r="HUV1" s="110"/>
      <c r="HUW1" s="110"/>
      <c r="HUX1" s="110"/>
      <c r="HUY1" s="110"/>
      <c r="HUZ1" s="110"/>
      <c r="HVA1" s="110"/>
      <c r="HVB1" s="110"/>
      <c r="HVC1" s="110"/>
      <c r="HVD1" s="110"/>
      <c r="HVE1" s="110"/>
      <c r="HVF1" s="110"/>
      <c r="HVG1" s="110"/>
      <c r="HVH1" s="110"/>
      <c r="HVI1" s="110"/>
      <c r="HVJ1" s="110"/>
      <c r="HVK1" s="110"/>
      <c r="HVL1" s="110"/>
      <c r="HVM1" s="110"/>
      <c r="HVN1" s="110"/>
      <c r="HVO1" s="110"/>
      <c r="HVP1" s="110"/>
      <c r="HVQ1" s="110"/>
      <c r="HVR1" s="110"/>
      <c r="HVS1" s="110"/>
      <c r="HVT1" s="110"/>
      <c r="HVU1" s="110"/>
      <c r="HVV1" s="110"/>
      <c r="HVW1" s="110"/>
      <c r="HVX1" s="110"/>
      <c r="HVY1" s="110"/>
      <c r="HVZ1" s="110"/>
      <c r="HWA1" s="110"/>
      <c r="HWB1" s="110"/>
      <c r="HWC1" s="110"/>
      <c r="HWD1" s="110"/>
      <c r="HWE1" s="110"/>
      <c r="HWF1" s="110"/>
      <c r="HWG1" s="110"/>
      <c r="HWH1" s="110"/>
      <c r="HWI1" s="110"/>
      <c r="HWJ1" s="110"/>
      <c r="HWK1" s="110"/>
      <c r="HWL1" s="110"/>
      <c r="HWM1" s="110"/>
      <c r="HWN1" s="110"/>
      <c r="HWO1" s="110"/>
      <c r="HWP1" s="110"/>
      <c r="HWQ1" s="110"/>
      <c r="HWR1" s="110"/>
      <c r="HWS1" s="110"/>
      <c r="HWT1" s="110"/>
      <c r="HWU1" s="110"/>
      <c r="HWV1" s="110"/>
      <c r="HWW1" s="110"/>
      <c r="HWX1" s="110"/>
      <c r="HWY1" s="110"/>
      <c r="HWZ1" s="110"/>
      <c r="HXA1" s="110"/>
      <c r="HXB1" s="110"/>
      <c r="HXC1" s="110"/>
      <c r="HXD1" s="110"/>
      <c r="HXE1" s="110"/>
      <c r="HXF1" s="110"/>
      <c r="HXG1" s="110"/>
      <c r="HXH1" s="110"/>
      <c r="HXI1" s="110"/>
      <c r="HXJ1" s="110"/>
      <c r="HXK1" s="110"/>
      <c r="HXL1" s="110"/>
      <c r="HXM1" s="110"/>
      <c r="HXN1" s="110"/>
      <c r="HXO1" s="110"/>
      <c r="HXP1" s="110"/>
      <c r="HXQ1" s="110"/>
      <c r="HXR1" s="110"/>
      <c r="HXS1" s="110"/>
      <c r="HXT1" s="110"/>
      <c r="HXU1" s="110"/>
      <c r="HXV1" s="110"/>
      <c r="HXW1" s="110"/>
      <c r="HXX1" s="110"/>
      <c r="HXY1" s="110"/>
      <c r="HXZ1" s="110"/>
      <c r="HYA1" s="110"/>
      <c r="HYB1" s="110"/>
      <c r="HYC1" s="110"/>
      <c r="HYD1" s="110"/>
      <c r="HYE1" s="110"/>
      <c r="HYF1" s="110"/>
      <c r="HYG1" s="110"/>
      <c r="HYH1" s="110"/>
      <c r="HYI1" s="110"/>
      <c r="HYJ1" s="110"/>
      <c r="HYK1" s="110"/>
      <c r="HYL1" s="110"/>
      <c r="HYM1" s="110"/>
      <c r="HYN1" s="110"/>
      <c r="HYO1" s="110"/>
      <c r="HYP1" s="110"/>
      <c r="HYQ1" s="110"/>
      <c r="HYR1" s="110"/>
      <c r="HYS1" s="110"/>
      <c r="HYT1" s="110"/>
      <c r="HYU1" s="110"/>
      <c r="HYV1" s="110"/>
      <c r="HYW1" s="110"/>
      <c r="HYX1" s="110"/>
      <c r="HYY1" s="110"/>
      <c r="HYZ1" s="110"/>
      <c r="HZA1" s="110"/>
      <c r="HZB1" s="110"/>
      <c r="HZC1" s="110"/>
      <c r="HZD1" s="110"/>
      <c r="HZE1" s="110"/>
      <c r="HZF1" s="110"/>
      <c r="HZG1" s="110"/>
      <c r="HZH1" s="110"/>
      <c r="HZI1" s="110"/>
      <c r="HZJ1" s="110"/>
      <c r="HZK1" s="110"/>
      <c r="HZL1" s="110"/>
      <c r="HZM1" s="110"/>
      <c r="HZN1" s="110"/>
      <c r="HZO1" s="110"/>
      <c r="HZP1" s="110"/>
      <c r="HZQ1" s="110"/>
      <c r="HZR1" s="110"/>
      <c r="HZS1" s="110"/>
      <c r="HZT1" s="110"/>
      <c r="HZU1" s="110"/>
      <c r="HZV1" s="110"/>
      <c r="HZW1" s="110"/>
      <c r="HZX1" s="110"/>
      <c r="HZY1" s="110"/>
      <c r="HZZ1" s="110"/>
      <c r="IAA1" s="110"/>
      <c r="IAB1" s="110"/>
      <c r="IAC1" s="110"/>
      <c r="IAD1" s="110"/>
      <c r="IAE1" s="110"/>
      <c r="IAF1" s="110"/>
      <c r="IAG1" s="110"/>
      <c r="IAH1" s="110"/>
      <c r="IAI1" s="110"/>
      <c r="IAJ1" s="110"/>
      <c r="IAK1" s="110"/>
      <c r="IAL1" s="110"/>
      <c r="IAM1" s="110"/>
      <c r="IAN1" s="110"/>
      <c r="IAO1" s="110"/>
      <c r="IAP1" s="110"/>
      <c r="IAQ1" s="110"/>
      <c r="IAR1" s="110"/>
      <c r="IAS1" s="110"/>
      <c r="IAT1" s="110"/>
      <c r="IAU1" s="110"/>
      <c r="IAV1" s="110"/>
      <c r="IAW1" s="110"/>
      <c r="IAX1" s="110"/>
      <c r="IAY1" s="110"/>
      <c r="IAZ1" s="110"/>
      <c r="IBA1" s="110"/>
      <c r="IBB1" s="110"/>
      <c r="IBC1" s="110"/>
      <c r="IBD1" s="110"/>
      <c r="IBE1" s="110"/>
      <c r="IBF1" s="110"/>
      <c r="IBG1" s="110"/>
      <c r="IBH1" s="110"/>
      <c r="IBI1" s="110"/>
      <c r="IBJ1" s="110"/>
      <c r="IBK1" s="110"/>
      <c r="IBL1" s="110"/>
      <c r="IBM1" s="110"/>
      <c r="IBN1" s="110"/>
      <c r="IBO1" s="110"/>
      <c r="IBP1" s="110"/>
      <c r="IBQ1" s="110"/>
      <c r="IBR1" s="110"/>
      <c r="IBS1" s="110"/>
      <c r="IBT1" s="110"/>
      <c r="IBU1" s="110"/>
      <c r="IBV1" s="110"/>
      <c r="IBW1" s="110"/>
      <c r="IBX1" s="110"/>
      <c r="IBY1" s="110"/>
      <c r="IBZ1" s="110"/>
      <c r="ICA1" s="110"/>
      <c r="ICB1" s="110"/>
      <c r="ICC1" s="110"/>
      <c r="ICD1" s="110"/>
      <c r="ICE1" s="110"/>
      <c r="ICF1" s="110"/>
      <c r="ICG1" s="110"/>
      <c r="ICH1" s="110"/>
      <c r="ICI1" s="110"/>
      <c r="ICJ1" s="110"/>
      <c r="ICK1" s="110"/>
      <c r="ICL1" s="110"/>
      <c r="ICM1" s="110"/>
      <c r="ICN1" s="110"/>
      <c r="ICO1" s="110"/>
      <c r="ICP1" s="110"/>
      <c r="ICQ1" s="110"/>
      <c r="ICR1" s="110"/>
      <c r="ICS1" s="110"/>
      <c r="ICT1" s="110"/>
      <c r="ICU1" s="110"/>
      <c r="ICV1" s="110"/>
      <c r="ICW1" s="110"/>
      <c r="ICX1" s="110"/>
      <c r="ICY1" s="110"/>
      <c r="ICZ1" s="110"/>
      <c r="IDA1" s="110"/>
      <c r="IDB1" s="110"/>
      <c r="IDC1" s="110"/>
      <c r="IDD1" s="110"/>
      <c r="IDE1" s="110"/>
      <c r="IDF1" s="110"/>
      <c r="IDG1" s="110"/>
      <c r="IDH1" s="110"/>
      <c r="IDI1" s="110"/>
      <c r="IDJ1" s="110"/>
      <c r="IDK1" s="110"/>
      <c r="IDL1" s="110"/>
      <c r="IDM1" s="110"/>
      <c r="IDN1" s="110"/>
      <c r="IDO1" s="110"/>
      <c r="IDP1" s="110"/>
      <c r="IDQ1" s="110"/>
      <c r="IDR1" s="110"/>
      <c r="IDS1" s="110"/>
      <c r="IDT1" s="110"/>
      <c r="IDU1" s="110"/>
      <c r="IDV1" s="110"/>
      <c r="IDW1" s="110"/>
      <c r="IDX1" s="110"/>
      <c r="IDY1" s="110"/>
      <c r="IDZ1" s="110"/>
      <c r="IEA1" s="110"/>
      <c r="IEB1" s="110"/>
      <c r="IEC1" s="110"/>
      <c r="IED1" s="110"/>
      <c r="IEE1" s="110"/>
      <c r="IEF1" s="110"/>
      <c r="IEG1" s="110"/>
      <c r="IEH1" s="110"/>
      <c r="IEI1" s="110"/>
      <c r="IEJ1" s="110"/>
      <c r="IEK1" s="110"/>
      <c r="IEL1" s="110"/>
      <c r="IEM1" s="110"/>
      <c r="IEN1" s="110"/>
      <c r="IEO1" s="110"/>
      <c r="IEP1" s="110"/>
      <c r="IEQ1" s="110"/>
      <c r="IER1" s="110"/>
      <c r="IES1" s="110"/>
      <c r="IET1" s="110"/>
      <c r="IEU1" s="110"/>
      <c r="IEV1" s="110"/>
      <c r="IEW1" s="110"/>
      <c r="IEX1" s="110"/>
      <c r="IEY1" s="110"/>
      <c r="IEZ1" s="110"/>
      <c r="IFA1" s="110"/>
      <c r="IFB1" s="110"/>
      <c r="IFC1" s="110"/>
      <c r="IFD1" s="110"/>
      <c r="IFE1" s="110"/>
      <c r="IFF1" s="110"/>
      <c r="IFG1" s="110"/>
      <c r="IFH1" s="110"/>
      <c r="IFI1" s="110"/>
      <c r="IFJ1" s="110"/>
      <c r="IFK1" s="110"/>
      <c r="IFL1" s="110"/>
      <c r="IFM1" s="110"/>
      <c r="IFN1" s="110"/>
      <c r="IFO1" s="110"/>
      <c r="IFP1" s="110"/>
      <c r="IFQ1" s="110"/>
      <c r="IFR1" s="110"/>
      <c r="IFS1" s="110"/>
      <c r="IFT1" s="110"/>
      <c r="IFU1" s="110"/>
      <c r="IFV1" s="110"/>
      <c r="IFW1" s="110"/>
      <c r="IFX1" s="110"/>
      <c r="IFY1" s="110"/>
      <c r="IFZ1" s="110"/>
      <c r="IGA1" s="110"/>
      <c r="IGB1" s="110"/>
      <c r="IGC1" s="110"/>
      <c r="IGD1" s="110"/>
      <c r="IGE1" s="110"/>
      <c r="IGF1" s="110"/>
      <c r="IGG1" s="110"/>
      <c r="IGH1" s="110"/>
      <c r="IGI1" s="110"/>
      <c r="IGJ1" s="110"/>
      <c r="IGK1" s="110"/>
      <c r="IGL1" s="110"/>
      <c r="IGM1" s="110"/>
      <c r="IGN1" s="110"/>
      <c r="IGO1" s="110"/>
      <c r="IGP1" s="110"/>
      <c r="IGQ1" s="110"/>
      <c r="IGR1" s="110"/>
      <c r="IGS1" s="110"/>
      <c r="IGT1" s="110"/>
      <c r="IGU1" s="110"/>
      <c r="IGV1" s="110"/>
      <c r="IGW1" s="110"/>
      <c r="IGX1" s="110"/>
      <c r="IGY1" s="110"/>
      <c r="IGZ1" s="110"/>
      <c r="IHA1" s="110"/>
      <c r="IHB1" s="110"/>
      <c r="IHC1" s="110"/>
      <c r="IHD1" s="110"/>
      <c r="IHE1" s="110"/>
      <c r="IHF1" s="110"/>
      <c r="IHG1" s="110"/>
      <c r="IHH1" s="110"/>
      <c r="IHI1" s="110"/>
      <c r="IHJ1" s="110"/>
      <c r="IHK1" s="110"/>
      <c r="IHL1" s="110"/>
      <c r="IHM1" s="110"/>
      <c r="IHN1" s="110"/>
      <c r="IHO1" s="110"/>
      <c r="IHP1" s="110"/>
      <c r="IHQ1" s="110"/>
      <c r="IHR1" s="110"/>
      <c r="IHS1" s="110"/>
      <c r="IHT1" s="110"/>
      <c r="IHU1" s="110"/>
      <c r="IHV1" s="110"/>
      <c r="IHW1" s="110"/>
      <c r="IHX1" s="110"/>
      <c r="IHY1" s="110"/>
      <c r="IHZ1" s="110"/>
      <c r="IIA1" s="110"/>
      <c r="IIB1" s="110"/>
      <c r="IIC1" s="110"/>
      <c r="IID1" s="110"/>
      <c r="IIE1" s="110"/>
      <c r="IIF1" s="110"/>
      <c r="IIG1" s="110"/>
      <c r="IIH1" s="110"/>
      <c r="III1" s="110"/>
      <c r="IIJ1" s="110"/>
      <c r="IIK1" s="110"/>
      <c r="IIL1" s="110"/>
      <c r="IIM1" s="110"/>
      <c r="IIN1" s="110"/>
      <c r="IIO1" s="110"/>
      <c r="IIP1" s="110"/>
      <c r="IIQ1" s="110"/>
      <c r="IIR1" s="110"/>
      <c r="IIS1" s="110"/>
      <c r="IIT1" s="110"/>
      <c r="IIU1" s="110"/>
      <c r="IIV1" s="110"/>
      <c r="IIW1" s="110"/>
      <c r="IIX1" s="110"/>
      <c r="IIY1" s="110"/>
      <c r="IIZ1" s="110"/>
      <c r="IJA1" s="110"/>
      <c r="IJB1" s="110"/>
      <c r="IJC1" s="110"/>
      <c r="IJD1" s="110"/>
      <c r="IJE1" s="110"/>
      <c r="IJF1" s="110"/>
      <c r="IJG1" s="110"/>
      <c r="IJH1" s="110"/>
      <c r="IJI1" s="110"/>
      <c r="IJJ1" s="110"/>
      <c r="IJK1" s="110"/>
      <c r="IJL1" s="110"/>
      <c r="IJM1" s="110"/>
      <c r="IJN1" s="110"/>
      <c r="IJO1" s="110"/>
      <c r="IJP1" s="110"/>
      <c r="IJQ1" s="110"/>
      <c r="IJR1" s="110"/>
      <c r="IJS1" s="110"/>
      <c r="IJT1" s="110"/>
      <c r="IJU1" s="110"/>
      <c r="IJV1" s="110"/>
      <c r="IJW1" s="110"/>
      <c r="IJX1" s="110"/>
      <c r="IJY1" s="110"/>
      <c r="IJZ1" s="110"/>
      <c r="IKA1" s="110"/>
      <c r="IKB1" s="110"/>
      <c r="IKC1" s="110"/>
      <c r="IKD1" s="110"/>
      <c r="IKE1" s="110"/>
      <c r="IKF1" s="110"/>
      <c r="IKG1" s="110"/>
      <c r="IKH1" s="110"/>
      <c r="IKI1" s="110"/>
      <c r="IKJ1" s="110"/>
      <c r="IKK1" s="110"/>
      <c r="IKL1" s="110"/>
      <c r="IKM1" s="110"/>
      <c r="IKN1" s="110"/>
      <c r="IKO1" s="110"/>
      <c r="IKP1" s="110"/>
      <c r="IKQ1" s="110"/>
      <c r="IKR1" s="110"/>
      <c r="IKS1" s="110"/>
      <c r="IKT1" s="110"/>
      <c r="IKU1" s="110"/>
      <c r="IKV1" s="110"/>
      <c r="IKW1" s="110"/>
      <c r="IKX1" s="110"/>
      <c r="IKY1" s="110"/>
      <c r="IKZ1" s="110"/>
      <c r="ILA1" s="110"/>
      <c r="ILB1" s="110"/>
      <c r="ILC1" s="110"/>
      <c r="ILD1" s="110"/>
      <c r="ILE1" s="110"/>
      <c r="ILF1" s="110"/>
      <c r="ILG1" s="110"/>
      <c r="ILH1" s="110"/>
      <c r="ILI1" s="110"/>
      <c r="ILJ1" s="110"/>
      <c r="ILK1" s="110"/>
      <c r="ILL1" s="110"/>
      <c r="ILM1" s="110"/>
      <c r="ILN1" s="110"/>
      <c r="ILO1" s="110"/>
      <c r="ILP1" s="110"/>
      <c r="ILQ1" s="110"/>
      <c r="ILR1" s="110"/>
      <c r="ILS1" s="110"/>
      <c r="ILT1" s="110"/>
      <c r="ILU1" s="110"/>
      <c r="ILV1" s="110"/>
      <c r="ILW1" s="110"/>
      <c r="ILX1" s="110"/>
      <c r="ILY1" s="110"/>
      <c r="ILZ1" s="110"/>
      <c r="IMA1" s="110"/>
      <c r="IMB1" s="110"/>
      <c r="IMC1" s="110"/>
      <c r="IMD1" s="110"/>
      <c r="IME1" s="110"/>
      <c r="IMF1" s="110"/>
      <c r="IMG1" s="110"/>
      <c r="IMH1" s="110"/>
      <c r="IMI1" s="110"/>
      <c r="IMJ1" s="110"/>
      <c r="IMK1" s="110"/>
      <c r="IML1" s="110"/>
      <c r="IMM1" s="110"/>
      <c r="IMN1" s="110"/>
      <c r="IMO1" s="110"/>
      <c r="IMP1" s="110"/>
      <c r="IMQ1" s="110"/>
      <c r="IMR1" s="110"/>
      <c r="IMS1" s="110"/>
      <c r="IMT1" s="110"/>
      <c r="IMU1" s="110"/>
      <c r="IMV1" s="110"/>
      <c r="IMW1" s="110"/>
      <c r="IMX1" s="110"/>
      <c r="IMY1" s="110"/>
      <c r="IMZ1" s="110"/>
      <c r="INA1" s="110"/>
      <c r="INB1" s="110"/>
      <c r="INC1" s="110"/>
      <c r="IND1" s="110"/>
      <c r="INE1" s="110"/>
      <c r="INF1" s="110"/>
      <c r="ING1" s="110"/>
      <c r="INH1" s="110"/>
      <c r="INI1" s="110"/>
      <c r="INJ1" s="110"/>
      <c r="INK1" s="110"/>
      <c r="INL1" s="110"/>
      <c r="INM1" s="110"/>
      <c r="INN1" s="110"/>
      <c r="INO1" s="110"/>
      <c r="INP1" s="110"/>
      <c r="INQ1" s="110"/>
      <c r="INR1" s="110"/>
      <c r="INS1" s="110"/>
      <c r="INT1" s="110"/>
      <c r="INU1" s="110"/>
      <c r="INV1" s="110"/>
      <c r="INW1" s="110"/>
      <c r="INX1" s="110"/>
      <c r="INY1" s="110"/>
      <c r="INZ1" s="110"/>
      <c r="IOA1" s="110"/>
      <c r="IOB1" s="110"/>
      <c r="IOC1" s="110"/>
      <c r="IOD1" s="110"/>
      <c r="IOE1" s="110"/>
      <c r="IOF1" s="110"/>
      <c r="IOG1" s="110"/>
      <c r="IOH1" s="110"/>
      <c r="IOI1" s="110"/>
      <c r="IOJ1" s="110"/>
      <c r="IOK1" s="110"/>
      <c r="IOL1" s="110"/>
      <c r="IOM1" s="110"/>
      <c r="ION1" s="110"/>
      <c r="IOO1" s="110"/>
      <c r="IOP1" s="110"/>
      <c r="IOQ1" s="110"/>
      <c r="IOR1" s="110"/>
      <c r="IOS1" s="110"/>
      <c r="IOT1" s="110"/>
      <c r="IOU1" s="110"/>
      <c r="IOV1" s="110"/>
      <c r="IOW1" s="110"/>
      <c r="IOX1" s="110"/>
      <c r="IOY1" s="110"/>
      <c r="IOZ1" s="110"/>
      <c r="IPA1" s="110"/>
      <c r="IPB1" s="110"/>
      <c r="IPC1" s="110"/>
      <c r="IPD1" s="110"/>
      <c r="IPE1" s="110"/>
      <c r="IPF1" s="110"/>
      <c r="IPG1" s="110"/>
      <c r="IPH1" s="110"/>
      <c r="IPI1" s="110"/>
      <c r="IPJ1" s="110"/>
      <c r="IPK1" s="110"/>
      <c r="IPL1" s="110"/>
      <c r="IPM1" s="110"/>
      <c r="IPN1" s="110"/>
      <c r="IPO1" s="110"/>
      <c r="IPP1" s="110"/>
      <c r="IPQ1" s="110"/>
      <c r="IPR1" s="110"/>
      <c r="IPS1" s="110"/>
      <c r="IPT1" s="110"/>
      <c r="IPU1" s="110"/>
      <c r="IPV1" s="110"/>
      <c r="IPW1" s="110"/>
      <c r="IPX1" s="110"/>
      <c r="IPY1" s="110"/>
      <c r="IPZ1" s="110"/>
      <c r="IQA1" s="110"/>
      <c r="IQB1" s="110"/>
      <c r="IQC1" s="110"/>
      <c r="IQD1" s="110"/>
      <c r="IQE1" s="110"/>
      <c r="IQF1" s="110"/>
      <c r="IQG1" s="110"/>
      <c r="IQH1" s="110"/>
      <c r="IQI1" s="110"/>
      <c r="IQJ1" s="110"/>
      <c r="IQK1" s="110"/>
      <c r="IQL1" s="110"/>
      <c r="IQM1" s="110"/>
      <c r="IQN1" s="110"/>
      <c r="IQO1" s="110"/>
      <c r="IQP1" s="110"/>
      <c r="IQQ1" s="110"/>
      <c r="IQR1" s="110"/>
      <c r="IQS1" s="110"/>
      <c r="IQT1" s="110"/>
      <c r="IQU1" s="110"/>
      <c r="IQV1" s="110"/>
      <c r="IQW1" s="110"/>
      <c r="IQX1" s="110"/>
      <c r="IQY1" s="110"/>
      <c r="IQZ1" s="110"/>
      <c r="IRA1" s="110"/>
      <c r="IRB1" s="110"/>
      <c r="IRC1" s="110"/>
      <c r="IRD1" s="110"/>
      <c r="IRE1" s="110"/>
      <c r="IRF1" s="110"/>
      <c r="IRG1" s="110"/>
      <c r="IRH1" s="110"/>
      <c r="IRI1" s="110"/>
      <c r="IRJ1" s="110"/>
      <c r="IRK1" s="110"/>
      <c r="IRL1" s="110"/>
      <c r="IRM1" s="110"/>
      <c r="IRN1" s="110"/>
      <c r="IRO1" s="110"/>
      <c r="IRP1" s="110"/>
      <c r="IRQ1" s="110"/>
      <c r="IRR1" s="110"/>
      <c r="IRS1" s="110"/>
      <c r="IRT1" s="110"/>
      <c r="IRU1" s="110"/>
      <c r="IRV1" s="110"/>
      <c r="IRW1" s="110"/>
      <c r="IRX1" s="110"/>
      <c r="IRY1" s="110"/>
      <c r="IRZ1" s="110"/>
      <c r="ISA1" s="110"/>
      <c r="ISB1" s="110"/>
      <c r="ISC1" s="110"/>
      <c r="ISD1" s="110"/>
      <c r="ISE1" s="110"/>
      <c r="ISF1" s="110"/>
      <c r="ISG1" s="110"/>
      <c r="ISH1" s="110"/>
      <c r="ISI1" s="110"/>
      <c r="ISJ1" s="110"/>
      <c r="ISK1" s="110"/>
      <c r="ISL1" s="110"/>
      <c r="ISM1" s="110"/>
      <c r="ISN1" s="110"/>
      <c r="ISO1" s="110"/>
      <c r="ISP1" s="110"/>
      <c r="ISQ1" s="110"/>
      <c r="ISR1" s="110"/>
      <c r="ISS1" s="110"/>
      <c r="IST1" s="110"/>
      <c r="ISU1" s="110"/>
      <c r="ISV1" s="110"/>
      <c r="ISW1" s="110"/>
      <c r="ISX1" s="110"/>
      <c r="ISY1" s="110"/>
      <c r="ISZ1" s="110"/>
      <c r="ITA1" s="110"/>
      <c r="ITB1" s="110"/>
      <c r="ITC1" s="110"/>
      <c r="ITD1" s="110"/>
      <c r="ITE1" s="110"/>
      <c r="ITF1" s="110"/>
      <c r="ITG1" s="110"/>
      <c r="ITH1" s="110"/>
      <c r="ITI1" s="110"/>
      <c r="ITJ1" s="110"/>
      <c r="ITK1" s="110"/>
      <c r="ITL1" s="110"/>
      <c r="ITM1" s="110"/>
      <c r="ITN1" s="110"/>
      <c r="ITO1" s="110"/>
      <c r="ITP1" s="110"/>
      <c r="ITQ1" s="110"/>
      <c r="ITR1" s="110"/>
      <c r="ITS1" s="110"/>
      <c r="ITT1" s="110"/>
      <c r="ITU1" s="110"/>
      <c r="ITV1" s="110"/>
      <c r="ITW1" s="110"/>
      <c r="ITX1" s="110"/>
      <c r="ITY1" s="110"/>
      <c r="ITZ1" s="110"/>
      <c r="IUA1" s="110"/>
      <c r="IUB1" s="110"/>
      <c r="IUC1" s="110"/>
      <c r="IUD1" s="110"/>
      <c r="IUE1" s="110"/>
      <c r="IUF1" s="110"/>
      <c r="IUG1" s="110"/>
      <c r="IUH1" s="110"/>
      <c r="IUI1" s="110"/>
      <c r="IUJ1" s="110"/>
      <c r="IUK1" s="110"/>
      <c r="IUL1" s="110"/>
      <c r="IUM1" s="110"/>
      <c r="IUN1" s="110"/>
      <c r="IUO1" s="110"/>
      <c r="IUP1" s="110"/>
      <c r="IUQ1" s="110"/>
      <c r="IUR1" s="110"/>
      <c r="IUS1" s="110"/>
      <c r="IUT1" s="110"/>
      <c r="IUU1" s="110"/>
      <c r="IUV1" s="110"/>
      <c r="IUW1" s="110"/>
      <c r="IUX1" s="110"/>
      <c r="IUY1" s="110"/>
      <c r="IUZ1" s="110"/>
      <c r="IVA1" s="110"/>
      <c r="IVB1" s="110"/>
      <c r="IVC1" s="110"/>
      <c r="IVD1" s="110"/>
      <c r="IVE1" s="110"/>
      <c r="IVF1" s="110"/>
      <c r="IVG1" s="110"/>
      <c r="IVH1" s="110"/>
      <c r="IVI1" s="110"/>
      <c r="IVJ1" s="110"/>
      <c r="IVK1" s="110"/>
      <c r="IVL1" s="110"/>
      <c r="IVM1" s="110"/>
      <c r="IVN1" s="110"/>
      <c r="IVO1" s="110"/>
      <c r="IVP1" s="110"/>
      <c r="IVQ1" s="110"/>
      <c r="IVR1" s="110"/>
      <c r="IVS1" s="110"/>
      <c r="IVT1" s="110"/>
      <c r="IVU1" s="110"/>
      <c r="IVV1" s="110"/>
      <c r="IVW1" s="110"/>
      <c r="IVX1" s="110"/>
      <c r="IVY1" s="110"/>
      <c r="IVZ1" s="110"/>
      <c r="IWA1" s="110"/>
      <c r="IWB1" s="110"/>
      <c r="IWC1" s="110"/>
      <c r="IWD1" s="110"/>
      <c r="IWE1" s="110"/>
      <c r="IWF1" s="110"/>
      <c r="IWG1" s="110"/>
      <c r="IWH1" s="110"/>
      <c r="IWI1" s="110"/>
      <c r="IWJ1" s="110"/>
      <c r="IWK1" s="110"/>
      <c r="IWL1" s="110"/>
      <c r="IWM1" s="110"/>
      <c r="IWN1" s="110"/>
      <c r="IWO1" s="110"/>
      <c r="IWP1" s="110"/>
      <c r="IWQ1" s="110"/>
      <c r="IWR1" s="110"/>
      <c r="IWS1" s="110"/>
      <c r="IWT1" s="110"/>
      <c r="IWU1" s="110"/>
      <c r="IWV1" s="110"/>
      <c r="IWW1" s="110"/>
      <c r="IWX1" s="110"/>
      <c r="IWY1" s="110"/>
      <c r="IWZ1" s="110"/>
      <c r="IXA1" s="110"/>
      <c r="IXB1" s="110"/>
      <c r="IXC1" s="110"/>
      <c r="IXD1" s="110"/>
      <c r="IXE1" s="110"/>
      <c r="IXF1" s="110"/>
      <c r="IXG1" s="110"/>
      <c r="IXH1" s="110"/>
      <c r="IXI1" s="110"/>
      <c r="IXJ1" s="110"/>
      <c r="IXK1" s="110"/>
      <c r="IXL1" s="110"/>
      <c r="IXM1" s="110"/>
      <c r="IXN1" s="110"/>
      <c r="IXO1" s="110"/>
      <c r="IXP1" s="110"/>
      <c r="IXQ1" s="110"/>
      <c r="IXR1" s="110"/>
      <c r="IXS1" s="110"/>
      <c r="IXT1" s="110"/>
      <c r="IXU1" s="110"/>
      <c r="IXV1" s="110"/>
      <c r="IXW1" s="110"/>
      <c r="IXX1" s="110"/>
      <c r="IXY1" s="110"/>
      <c r="IXZ1" s="110"/>
      <c r="IYA1" s="110"/>
      <c r="IYB1" s="110"/>
      <c r="IYC1" s="110"/>
      <c r="IYD1" s="110"/>
      <c r="IYE1" s="110"/>
      <c r="IYF1" s="110"/>
      <c r="IYG1" s="110"/>
      <c r="IYH1" s="110"/>
      <c r="IYI1" s="110"/>
      <c r="IYJ1" s="110"/>
      <c r="IYK1" s="110"/>
      <c r="IYL1" s="110"/>
      <c r="IYM1" s="110"/>
      <c r="IYN1" s="110"/>
      <c r="IYO1" s="110"/>
      <c r="IYP1" s="110"/>
      <c r="IYQ1" s="110"/>
      <c r="IYR1" s="110"/>
      <c r="IYS1" s="110"/>
      <c r="IYT1" s="110"/>
      <c r="IYU1" s="110"/>
      <c r="IYV1" s="110"/>
      <c r="IYW1" s="110"/>
      <c r="IYX1" s="110"/>
      <c r="IYY1" s="110"/>
      <c r="IYZ1" s="110"/>
      <c r="IZA1" s="110"/>
      <c r="IZB1" s="110"/>
      <c r="IZC1" s="110"/>
      <c r="IZD1" s="110"/>
      <c r="IZE1" s="110"/>
      <c r="IZF1" s="110"/>
      <c r="IZG1" s="110"/>
      <c r="IZH1" s="110"/>
      <c r="IZI1" s="110"/>
      <c r="IZJ1" s="110"/>
      <c r="IZK1" s="110"/>
      <c r="IZL1" s="110"/>
      <c r="IZM1" s="110"/>
      <c r="IZN1" s="110"/>
      <c r="IZO1" s="110"/>
      <c r="IZP1" s="110"/>
      <c r="IZQ1" s="110"/>
      <c r="IZR1" s="110"/>
      <c r="IZS1" s="110"/>
      <c r="IZT1" s="110"/>
      <c r="IZU1" s="110"/>
      <c r="IZV1" s="110"/>
      <c r="IZW1" s="110"/>
      <c r="IZX1" s="110"/>
      <c r="IZY1" s="110"/>
      <c r="IZZ1" s="110"/>
      <c r="JAA1" s="110"/>
      <c r="JAB1" s="110"/>
      <c r="JAC1" s="110"/>
      <c r="JAD1" s="110"/>
      <c r="JAE1" s="110"/>
      <c r="JAF1" s="110"/>
      <c r="JAG1" s="110"/>
      <c r="JAH1" s="110"/>
      <c r="JAI1" s="110"/>
      <c r="JAJ1" s="110"/>
      <c r="JAK1" s="110"/>
      <c r="JAL1" s="110"/>
      <c r="JAM1" s="110"/>
      <c r="JAN1" s="110"/>
      <c r="JAO1" s="110"/>
      <c r="JAP1" s="110"/>
      <c r="JAQ1" s="110"/>
      <c r="JAR1" s="110"/>
      <c r="JAS1" s="110"/>
      <c r="JAT1" s="110"/>
      <c r="JAU1" s="110"/>
      <c r="JAV1" s="110"/>
      <c r="JAW1" s="110"/>
      <c r="JAX1" s="110"/>
      <c r="JAY1" s="110"/>
      <c r="JAZ1" s="110"/>
      <c r="JBA1" s="110"/>
      <c r="JBB1" s="110"/>
      <c r="JBC1" s="110"/>
      <c r="JBD1" s="110"/>
      <c r="JBE1" s="110"/>
      <c r="JBF1" s="110"/>
      <c r="JBG1" s="110"/>
      <c r="JBH1" s="110"/>
      <c r="JBI1" s="110"/>
      <c r="JBJ1" s="110"/>
      <c r="JBK1" s="110"/>
      <c r="JBL1" s="110"/>
      <c r="JBM1" s="110"/>
      <c r="JBN1" s="110"/>
      <c r="JBO1" s="110"/>
      <c r="JBP1" s="110"/>
      <c r="JBQ1" s="110"/>
      <c r="JBR1" s="110"/>
      <c r="JBS1" s="110"/>
      <c r="JBT1" s="110"/>
      <c r="JBU1" s="110"/>
      <c r="JBV1" s="110"/>
      <c r="JBW1" s="110"/>
      <c r="JBX1" s="110"/>
      <c r="JBY1" s="110"/>
      <c r="JBZ1" s="110"/>
      <c r="JCA1" s="110"/>
      <c r="JCB1" s="110"/>
      <c r="JCC1" s="110"/>
      <c r="JCD1" s="110"/>
      <c r="JCE1" s="110"/>
      <c r="JCF1" s="110"/>
      <c r="JCG1" s="110"/>
      <c r="JCH1" s="110"/>
      <c r="JCI1" s="110"/>
      <c r="JCJ1" s="110"/>
      <c r="JCK1" s="110"/>
      <c r="JCL1" s="110"/>
      <c r="JCM1" s="110"/>
      <c r="JCN1" s="110"/>
      <c r="JCO1" s="110"/>
      <c r="JCP1" s="110"/>
      <c r="JCQ1" s="110"/>
      <c r="JCR1" s="110"/>
      <c r="JCS1" s="110"/>
      <c r="JCT1" s="110"/>
      <c r="JCU1" s="110"/>
      <c r="JCV1" s="110"/>
      <c r="JCW1" s="110"/>
      <c r="JCX1" s="110"/>
      <c r="JCY1" s="110"/>
      <c r="JCZ1" s="110"/>
      <c r="JDA1" s="110"/>
      <c r="JDB1" s="110"/>
      <c r="JDC1" s="110"/>
      <c r="JDD1" s="110"/>
      <c r="JDE1" s="110"/>
      <c r="JDF1" s="110"/>
      <c r="JDG1" s="110"/>
      <c r="JDH1" s="110"/>
      <c r="JDI1" s="110"/>
      <c r="JDJ1" s="110"/>
      <c r="JDK1" s="110"/>
      <c r="JDL1" s="110"/>
      <c r="JDM1" s="110"/>
      <c r="JDN1" s="110"/>
      <c r="JDO1" s="110"/>
      <c r="JDP1" s="110"/>
      <c r="JDQ1" s="110"/>
      <c r="JDR1" s="110"/>
      <c r="JDS1" s="110"/>
      <c r="JDT1" s="110"/>
      <c r="JDU1" s="110"/>
      <c r="JDV1" s="110"/>
      <c r="JDW1" s="110"/>
      <c r="JDX1" s="110"/>
      <c r="JDY1" s="110"/>
      <c r="JDZ1" s="110"/>
      <c r="JEA1" s="110"/>
      <c r="JEB1" s="110"/>
      <c r="JEC1" s="110"/>
      <c r="JED1" s="110"/>
      <c r="JEE1" s="110"/>
      <c r="JEF1" s="110"/>
      <c r="JEG1" s="110"/>
      <c r="JEH1" s="110"/>
      <c r="JEI1" s="110"/>
      <c r="JEJ1" s="110"/>
      <c r="JEK1" s="110"/>
      <c r="JEL1" s="110"/>
      <c r="JEM1" s="110"/>
      <c r="JEN1" s="110"/>
      <c r="JEO1" s="110"/>
      <c r="JEP1" s="110"/>
      <c r="JEQ1" s="110"/>
      <c r="JER1" s="110"/>
      <c r="JES1" s="110"/>
      <c r="JET1" s="110"/>
      <c r="JEU1" s="110"/>
      <c r="JEV1" s="110"/>
      <c r="JEW1" s="110"/>
      <c r="JEX1" s="110"/>
      <c r="JEY1" s="110"/>
      <c r="JEZ1" s="110"/>
      <c r="JFA1" s="110"/>
      <c r="JFB1" s="110"/>
      <c r="JFC1" s="110"/>
      <c r="JFD1" s="110"/>
      <c r="JFE1" s="110"/>
      <c r="JFF1" s="110"/>
      <c r="JFG1" s="110"/>
      <c r="JFH1" s="110"/>
      <c r="JFI1" s="110"/>
      <c r="JFJ1" s="110"/>
      <c r="JFK1" s="110"/>
      <c r="JFL1" s="110"/>
      <c r="JFM1" s="110"/>
      <c r="JFN1" s="110"/>
      <c r="JFO1" s="110"/>
      <c r="JFP1" s="110"/>
      <c r="JFQ1" s="110"/>
      <c r="JFR1" s="110"/>
      <c r="JFS1" s="110"/>
      <c r="JFT1" s="110"/>
      <c r="JFU1" s="110"/>
      <c r="JFV1" s="110"/>
      <c r="JFW1" s="110"/>
      <c r="JFX1" s="110"/>
      <c r="JFY1" s="110"/>
      <c r="JFZ1" s="110"/>
      <c r="JGA1" s="110"/>
      <c r="JGB1" s="110"/>
      <c r="JGC1" s="110"/>
      <c r="JGD1" s="110"/>
      <c r="JGE1" s="110"/>
      <c r="JGF1" s="110"/>
      <c r="JGG1" s="110"/>
      <c r="JGH1" s="110"/>
      <c r="JGI1" s="110"/>
      <c r="JGJ1" s="110"/>
      <c r="JGK1" s="110"/>
      <c r="JGL1" s="110"/>
      <c r="JGM1" s="110"/>
      <c r="JGN1" s="110"/>
      <c r="JGO1" s="110"/>
      <c r="JGP1" s="110"/>
      <c r="JGQ1" s="110"/>
      <c r="JGR1" s="110"/>
      <c r="JGS1" s="110"/>
      <c r="JGT1" s="110"/>
      <c r="JGU1" s="110"/>
      <c r="JGV1" s="110"/>
      <c r="JGW1" s="110"/>
      <c r="JGX1" s="110"/>
      <c r="JGY1" s="110"/>
      <c r="JGZ1" s="110"/>
      <c r="JHA1" s="110"/>
      <c r="JHB1" s="110"/>
      <c r="JHC1" s="110"/>
      <c r="JHD1" s="110"/>
      <c r="JHE1" s="110"/>
      <c r="JHF1" s="110"/>
      <c r="JHG1" s="110"/>
      <c r="JHH1" s="110"/>
      <c r="JHI1" s="110"/>
      <c r="JHJ1" s="110"/>
      <c r="JHK1" s="110"/>
      <c r="JHL1" s="110"/>
      <c r="JHM1" s="110"/>
      <c r="JHN1" s="110"/>
      <c r="JHO1" s="110"/>
      <c r="JHP1" s="110"/>
      <c r="JHQ1" s="110"/>
      <c r="JHR1" s="110"/>
      <c r="JHS1" s="110"/>
      <c r="JHT1" s="110"/>
      <c r="JHU1" s="110"/>
      <c r="JHV1" s="110"/>
      <c r="JHW1" s="110"/>
      <c r="JHX1" s="110"/>
      <c r="JHY1" s="110"/>
      <c r="JHZ1" s="110"/>
      <c r="JIA1" s="110"/>
      <c r="JIB1" s="110"/>
      <c r="JIC1" s="110"/>
      <c r="JID1" s="110"/>
      <c r="JIE1" s="110"/>
      <c r="JIF1" s="110"/>
      <c r="JIG1" s="110"/>
      <c r="JIH1" s="110"/>
      <c r="JII1" s="110"/>
      <c r="JIJ1" s="110"/>
      <c r="JIK1" s="110"/>
      <c r="JIL1" s="110"/>
      <c r="JIM1" s="110"/>
      <c r="JIN1" s="110"/>
      <c r="JIO1" s="110"/>
      <c r="JIP1" s="110"/>
      <c r="JIQ1" s="110"/>
      <c r="JIR1" s="110"/>
      <c r="JIS1" s="110"/>
      <c r="JIT1" s="110"/>
      <c r="JIU1" s="110"/>
      <c r="JIV1" s="110"/>
      <c r="JIW1" s="110"/>
      <c r="JIX1" s="110"/>
      <c r="JIY1" s="110"/>
      <c r="JIZ1" s="110"/>
      <c r="JJA1" s="110"/>
      <c r="JJB1" s="110"/>
      <c r="JJC1" s="110"/>
      <c r="JJD1" s="110"/>
      <c r="JJE1" s="110"/>
      <c r="JJF1" s="110"/>
      <c r="JJG1" s="110"/>
      <c r="JJH1" s="110"/>
      <c r="JJI1" s="110"/>
      <c r="JJJ1" s="110"/>
      <c r="JJK1" s="110"/>
      <c r="JJL1" s="110"/>
      <c r="JJM1" s="110"/>
      <c r="JJN1" s="110"/>
      <c r="JJO1" s="110"/>
      <c r="JJP1" s="110"/>
      <c r="JJQ1" s="110"/>
      <c r="JJR1" s="110"/>
      <c r="JJS1" s="110"/>
      <c r="JJT1" s="110"/>
      <c r="JJU1" s="110"/>
      <c r="JJV1" s="110"/>
      <c r="JJW1" s="110"/>
      <c r="JJX1" s="110"/>
      <c r="JJY1" s="110"/>
      <c r="JJZ1" s="110"/>
      <c r="JKA1" s="110"/>
      <c r="JKB1" s="110"/>
      <c r="JKC1" s="110"/>
      <c r="JKD1" s="110"/>
      <c r="JKE1" s="110"/>
      <c r="JKF1" s="110"/>
      <c r="JKG1" s="110"/>
      <c r="JKH1" s="110"/>
      <c r="JKI1" s="110"/>
      <c r="JKJ1" s="110"/>
      <c r="JKK1" s="110"/>
      <c r="JKL1" s="110"/>
      <c r="JKM1" s="110"/>
      <c r="JKN1" s="110"/>
      <c r="JKO1" s="110"/>
      <c r="JKP1" s="110"/>
      <c r="JKQ1" s="110"/>
      <c r="JKR1" s="110"/>
      <c r="JKS1" s="110"/>
      <c r="JKT1" s="110"/>
      <c r="JKU1" s="110"/>
      <c r="JKV1" s="110"/>
      <c r="JKW1" s="110"/>
      <c r="JKX1" s="110"/>
      <c r="JKY1" s="110"/>
      <c r="JKZ1" s="110"/>
      <c r="JLA1" s="110"/>
      <c r="JLB1" s="110"/>
      <c r="JLC1" s="110"/>
      <c r="JLD1" s="110"/>
      <c r="JLE1" s="110"/>
      <c r="JLF1" s="110"/>
      <c r="JLG1" s="110"/>
      <c r="JLH1" s="110"/>
      <c r="JLI1" s="110"/>
      <c r="JLJ1" s="110"/>
      <c r="JLK1" s="110"/>
      <c r="JLL1" s="110"/>
      <c r="JLM1" s="110"/>
      <c r="JLN1" s="110"/>
      <c r="JLO1" s="110"/>
      <c r="JLP1" s="110"/>
      <c r="JLQ1" s="110"/>
      <c r="JLR1" s="110"/>
      <c r="JLS1" s="110"/>
      <c r="JLT1" s="110"/>
      <c r="JLU1" s="110"/>
      <c r="JLV1" s="110"/>
      <c r="JLW1" s="110"/>
      <c r="JLX1" s="110"/>
      <c r="JLY1" s="110"/>
      <c r="JLZ1" s="110"/>
      <c r="JMA1" s="110"/>
      <c r="JMB1" s="110"/>
      <c r="JMC1" s="110"/>
      <c r="JMD1" s="110"/>
      <c r="JME1" s="110"/>
      <c r="JMF1" s="110"/>
      <c r="JMG1" s="110"/>
      <c r="JMH1" s="110"/>
      <c r="JMI1" s="110"/>
      <c r="JMJ1" s="110"/>
      <c r="JMK1" s="110"/>
      <c r="JML1" s="110"/>
      <c r="JMM1" s="110"/>
      <c r="JMN1" s="110"/>
      <c r="JMO1" s="110"/>
      <c r="JMP1" s="110"/>
      <c r="JMQ1" s="110"/>
      <c r="JMR1" s="110"/>
      <c r="JMS1" s="110"/>
      <c r="JMT1" s="110"/>
      <c r="JMU1" s="110"/>
      <c r="JMV1" s="110"/>
      <c r="JMW1" s="110"/>
      <c r="JMX1" s="110"/>
      <c r="JMY1" s="110"/>
      <c r="JMZ1" s="110"/>
      <c r="JNA1" s="110"/>
      <c r="JNB1" s="110"/>
      <c r="JNC1" s="110"/>
      <c r="JND1" s="110"/>
      <c r="JNE1" s="110"/>
      <c r="JNF1" s="110"/>
      <c r="JNG1" s="110"/>
      <c r="JNH1" s="110"/>
      <c r="JNI1" s="110"/>
      <c r="JNJ1" s="110"/>
      <c r="JNK1" s="110"/>
      <c r="JNL1" s="110"/>
      <c r="JNM1" s="110"/>
      <c r="JNN1" s="110"/>
      <c r="JNO1" s="110"/>
      <c r="JNP1" s="110"/>
      <c r="JNQ1" s="110"/>
      <c r="JNR1" s="110"/>
      <c r="JNS1" s="110"/>
      <c r="JNT1" s="110"/>
      <c r="JNU1" s="110"/>
      <c r="JNV1" s="110"/>
      <c r="JNW1" s="110"/>
      <c r="JNX1" s="110"/>
      <c r="JNY1" s="110"/>
      <c r="JNZ1" s="110"/>
      <c r="JOA1" s="110"/>
      <c r="JOB1" s="110"/>
      <c r="JOC1" s="110"/>
      <c r="JOD1" s="110"/>
      <c r="JOE1" s="110"/>
      <c r="JOF1" s="110"/>
      <c r="JOG1" s="110"/>
      <c r="JOH1" s="110"/>
      <c r="JOI1" s="110"/>
      <c r="JOJ1" s="110"/>
      <c r="JOK1" s="110"/>
      <c r="JOL1" s="110"/>
      <c r="JOM1" s="110"/>
      <c r="JON1" s="110"/>
      <c r="JOO1" s="110"/>
      <c r="JOP1" s="110"/>
      <c r="JOQ1" s="110"/>
      <c r="JOR1" s="110"/>
      <c r="JOS1" s="110"/>
      <c r="JOT1" s="110"/>
      <c r="JOU1" s="110"/>
      <c r="JOV1" s="110"/>
      <c r="JOW1" s="110"/>
      <c r="JOX1" s="110"/>
      <c r="JOY1" s="110"/>
      <c r="JOZ1" s="110"/>
      <c r="JPA1" s="110"/>
      <c r="JPB1" s="110"/>
      <c r="JPC1" s="110"/>
      <c r="JPD1" s="110"/>
      <c r="JPE1" s="110"/>
      <c r="JPF1" s="110"/>
      <c r="JPG1" s="110"/>
      <c r="JPH1" s="110"/>
      <c r="JPI1" s="110"/>
      <c r="JPJ1" s="110"/>
      <c r="JPK1" s="110"/>
      <c r="JPL1" s="110"/>
      <c r="JPM1" s="110"/>
      <c r="JPN1" s="110"/>
      <c r="JPO1" s="110"/>
      <c r="JPP1" s="110"/>
      <c r="JPQ1" s="110"/>
      <c r="JPR1" s="110"/>
      <c r="JPS1" s="110"/>
      <c r="JPT1" s="110"/>
      <c r="JPU1" s="110"/>
      <c r="JPV1" s="110"/>
      <c r="JPW1" s="110"/>
      <c r="JPX1" s="110"/>
      <c r="JPY1" s="110"/>
      <c r="JPZ1" s="110"/>
      <c r="JQA1" s="110"/>
      <c r="JQB1" s="110"/>
      <c r="JQC1" s="110"/>
      <c r="JQD1" s="110"/>
      <c r="JQE1" s="110"/>
      <c r="JQF1" s="110"/>
      <c r="JQG1" s="110"/>
      <c r="JQH1" s="110"/>
      <c r="JQI1" s="110"/>
      <c r="JQJ1" s="110"/>
      <c r="JQK1" s="110"/>
      <c r="JQL1" s="110"/>
      <c r="JQM1" s="110"/>
      <c r="JQN1" s="110"/>
      <c r="JQO1" s="110"/>
      <c r="JQP1" s="110"/>
      <c r="JQQ1" s="110"/>
      <c r="JQR1" s="110"/>
      <c r="JQS1" s="110"/>
      <c r="JQT1" s="110"/>
      <c r="JQU1" s="110"/>
      <c r="JQV1" s="110"/>
      <c r="JQW1" s="110"/>
      <c r="JQX1" s="110"/>
      <c r="JQY1" s="110"/>
      <c r="JQZ1" s="110"/>
      <c r="JRA1" s="110"/>
      <c r="JRB1" s="110"/>
      <c r="JRC1" s="110"/>
      <c r="JRD1" s="110"/>
      <c r="JRE1" s="110"/>
      <c r="JRF1" s="110"/>
      <c r="JRG1" s="110"/>
      <c r="JRH1" s="110"/>
      <c r="JRI1" s="110"/>
      <c r="JRJ1" s="110"/>
      <c r="JRK1" s="110"/>
      <c r="JRL1" s="110"/>
      <c r="JRM1" s="110"/>
      <c r="JRN1" s="110"/>
      <c r="JRO1" s="110"/>
      <c r="JRP1" s="110"/>
      <c r="JRQ1" s="110"/>
      <c r="JRR1" s="110"/>
      <c r="JRS1" s="110"/>
      <c r="JRT1" s="110"/>
      <c r="JRU1" s="110"/>
      <c r="JRV1" s="110"/>
      <c r="JRW1" s="110"/>
      <c r="JRX1" s="110"/>
      <c r="JRY1" s="110"/>
      <c r="JRZ1" s="110"/>
      <c r="JSA1" s="110"/>
      <c r="JSB1" s="110"/>
      <c r="JSC1" s="110"/>
      <c r="JSD1" s="110"/>
      <c r="JSE1" s="110"/>
      <c r="JSF1" s="110"/>
      <c r="JSG1" s="110"/>
      <c r="JSH1" s="110"/>
      <c r="JSI1" s="110"/>
      <c r="JSJ1" s="110"/>
      <c r="JSK1" s="110"/>
      <c r="JSL1" s="110"/>
      <c r="JSM1" s="110"/>
      <c r="JSN1" s="110"/>
      <c r="JSO1" s="110"/>
      <c r="JSP1" s="110"/>
      <c r="JSQ1" s="110"/>
      <c r="JSR1" s="110"/>
      <c r="JSS1" s="110"/>
      <c r="JST1" s="110"/>
      <c r="JSU1" s="110"/>
      <c r="JSV1" s="110"/>
      <c r="JSW1" s="110"/>
      <c r="JSX1" s="110"/>
      <c r="JSY1" s="110"/>
      <c r="JSZ1" s="110"/>
      <c r="JTA1" s="110"/>
      <c r="JTB1" s="110"/>
      <c r="JTC1" s="110"/>
      <c r="JTD1" s="110"/>
      <c r="JTE1" s="110"/>
      <c r="JTF1" s="110"/>
      <c r="JTG1" s="110"/>
      <c r="JTH1" s="110"/>
      <c r="JTI1" s="110"/>
      <c r="JTJ1" s="110"/>
      <c r="JTK1" s="110"/>
      <c r="JTL1" s="110"/>
      <c r="JTM1" s="110"/>
      <c r="JTN1" s="110"/>
      <c r="JTO1" s="110"/>
      <c r="JTP1" s="110"/>
      <c r="JTQ1" s="110"/>
      <c r="JTR1" s="110"/>
      <c r="JTS1" s="110"/>
      <c r="JTT1" s="110"/>
      <c r="JTU1" s="110"/>
      <c r="JTV1" s="110"/>
      <c r="JTW1" s="110"/>
      <c r="JTX1" s="110"/>
      <c r="JTY1" s="110"/>
      <c r="JTZ1" s="110"/>
      <c r="JUA1" s="110"/>
      <c r="JUB1" s="110"/>
      <c r="JUC1" s="110"/>
      <c r="JUD1" s="110"/>
      <c r="JUE1" s="110"/>
      <c r="JUF1" s="110"/>
      <c r="JUG1" s="110"/>
      <c r="JUH1" s="110"/>
      <c r="JUI1" s="110"/>
      <c r="JUJ1" s="110"/>
      <c r="JUK1" s="110"/>
      <c r="JUL1" s="110"/>
      <c r="JUM1" s="110"/>
      <c r="JUN1" s="110"/>
      <c r="JUO1" s="110"/>
      <c r="JUP1" s="110"/>
      <c r="JUQ1" s="110"/>
      <c r="JUR1" s="110"/>
      <c r="JUS1" s="110"/>
      <c r="JUT1" s="110"/>
      <c r="JUU1" s="110"/>
      <c r="JUV1" s="110"/>
      <c r="JUW1" s="110"/>
      <c r="JUX1" s="110"/>
      <c r="JUY1" s="110"/>
      <c r="JUZ1" s="110"/>
      <c r="JVA1" s="110"/>
      <c r="JVB1" s="110"/>
      <c r="JVC1" s="110"/>
      <c r="JVD1" s="110"/>
      <c r="JVE1" s="110"/>
      <c r="JVF1" s="110"/>
      <c r="JVG1" s="110"/>
      <c r="JVH1" s="110"/>
      <c r="JVI1" s="110"/>
      <c r="JVJ1" s="110"/>
      <c r="JVK1" s="110"/>
      <c r="JVL1" s="110"/>
      <c r="JVM1" s="110"/>
      <c r="JVN1" s="110"/>
      <c r="JVO1" s="110"/>
      <c r="JVP1" s="110"/>
      <c r="JVQ1" s="110"/>
      <c r="JVR1" s="110"/>
      <c r="JVS1" s="110"/>
      <c r="JVT1" s="110"/>
      <c r="JVU1" s="110"/>
      <c r="JVV1" s="110"/>
      <c r="JVW1" s="110"/>
      <c r="JVX1" s="110"/>
      <c r="JVY1" s="110"/>
      <c r="JVZ1" s="110"/>
      <c r="JWA1" s="110"/>
      <c r="JWB1" s="110"/>
      <c r="JWC1" s="110"/>
      <c r="JWD1" s="110"/>
      <c r="JWE1" s="110"/>
      <c r="JWF1" s="110"/>
      <c r="JWG1" s="110"/>
      <c r="JWH1" s="110"/>
      <c r="JWI1" s="110"/>
      <c r="JWJ1" s="110"/>
      <c r="JWK1" s="110"/>
      <c r="JWL1" s="110"/>
      <c r="JWM1" s="110"/>
      <c r="JWN1" s="110"/>
      <c r="JWO1" s="110"/>
      <c r="JWP1" s="110"/>
      <c r="JWQ1" s="110"/>
      <c r="JWR1" s="110"/>
      <c r="JWS1" s="110"/>
      <c r="JWT1" s="110"/>
      <c r="JWU1" s="110"/>
      <c r="JWV1" s="110"/>
      <c r="JWW1" s="110"/>
      <c r="JWX1" s="110"/>
      <c r="JWY1" s="110"/>
      <c r="JWZ1" s="110"/>
      <c r="JXA1" s="110"/>
      <c r="JXB1" s="110"/>
      <c r="JXC1" s="110"/>
      <c r="JXD1" s="110"/>
      <c r="JXE1" s="110"/>
      <c r="JXF1" s="110"/>
      <c r="JXG1" s="110"/>
      <c r="JXH1" s="110"/>
      <c r="JXI1" s="110"/>
      <c r="JXJ1" s="110"/>
      <c r="JXK1" s="110"/>
      <c r="JXL1" s="110"/>
      <c r="JXM1" s="110"/>
      <c r="JXN1" s="110"/>
      <c r="JXO1" s="110"/>
      <c r="JXP1" s="110"/>
      <c r="JXQ1" s="110"/>
      <c r="JXR1" s="110"/>
      <c r="JXS1" s="110"/>
      <c r="JXT1" s="110"/>
      <c r="JXU1" s="110"/>
      <c r="JXV1" s="110"/>
      <c r="JXW1" s="110"/>
      <c r="JXX1" s="110"/>
      <c r="JXY1" s="110"/>
      <c r="JXZ1" s="110"/>
      <c r="JYA1" s="110"/>
      <c r="JYB1" s="110"/>
      <c r="JYC1" s="110"/>
      <c r="JYD1" s="110"/>
      <c r="JYE1" s="110"/>
      <c r="JYF1" s="110"/>
      <c r="JYG1" s="110"/>
      <c r="JYH1" s="110"/>
      <c r="JYI1" s="110"/>
      <c r="JYJ1" s="110"/>
      <c r="JYK1" s="110"/>
      <c r="JYL1" s="110"/>
      <c r="JYM1" s="110"/>
      <c r="JYN1" s="110"/>
      <c r="JYO1" s="110"/>
      <c r="JYP1" s="110"/>
      <c r="JYQ1" s="110"/>
      <c r="JYR1" s="110"/>
      <c r="JYS1" s="110"/>
      <c r="JYT1" s="110"/>
      <c r="JYU1" s="110"/>
      <c r="JYV1" s="110"/>
      <c r="JYW1" s="110"/>
      <c r="JYX1" s="110"/>
      <c r="JYY1" s="110"/>
      <c r="JYZ1" s="110"/>
      <c r="JZA1" s="110"/>
      <c r="JZB1" s="110"/>
      <c r="JZC1" s="110"/>
      <c r="JZD1" s="110"/>
      <c r="JZE1" s="110"/>
      <c r="JZF1" s="110"/>
      <c r="JZG1" s="110"/>
      <c r="JZH1" s="110"/>
      <c r="JZI1" s="110"/>
      <c r="JZJ1" s="110"/>
      <c r="JZK1" s="110"/>
      <c r="JZL1" s="110"/>
      <c r="JZM1" s="110"/>
      <c r="JZN1" s="110"/>
      <c r="JZO1" s="110"/>
      <c r="JZP1" s="110"/>
      <c r="JZQ1" s="110"/>
      <c r="JZR1" s="110"/>
      <c r="JZS1" s="110"/>
      <c r="JZT1" s="110"/>
      <c r="JZU1" s="110"/>
      <c r="JZV1" s="110"/>
      <c r="JZW1" s="110"/>
      <c r="JZX1" s="110"/>
      <c r="JZY1" s="110"/>
      <c r="JZZ1" s="110"/>
      <c r="KAA1" s="110"/>
      <c r="KAB1" s="110"/>
      <c r="KAC1" s="110"/>
      <c r="KAD1" s="110"/>
      <c r="KAE1" s="110"/>
      <c r="KAF1" s="110"/>
      <c r="KAG1" s="110"/>
      <c r="KAH1" s="110"/>
      <c r="KAI1" s="110"/>
      <c r="KAJ1" s="110"/>
      <c r="KAK1" s="110"/>
      <c r="KAL1" s="110"/>
      <c r="KAM1" s="110"/>
      <c r="KAN1" s="110"/>
      <c r="KAO1" s="110"/>
      <c r="KAP1" s="110"/>
      <c r="KAQ1" s="110"/>
      <c r="KAR1" s="110"/>
      <c r="KAS1" s="110"/>
      <c r="KAT1" s="110"/>
      <c r="KAU1" s="110"/>
      <c r="KAV1" s="110"/>
      <c r="KAW1" s="110"/>
      <c r="KAX1" s="110"/>
      <c r="KAY1" s="110"/>
      <c r="KAZ1" s="110"/>
      <c r="KBA1" s="110"/>
      <c r="KBB1" s="110"/>
      <c r="KBC1" s="110"/>
      <c r="KBD1" s="110"/>
      <c r="KBE1" s="110"/>
      <c r="KBF1" s="110"/>
      <c r="KBG1" s="110"/>
      <c r="KBH1" s="110"/>
      <c r="KBI1" s="110"/>
      <c r="KBJ1" s="110"/>
      <c r="KBK1" s="110"/>
      <c r="KBL1" s="110"/>
      <c r="KBM1" s="110"/>
      <c r="KBN1" s="110"/>
      <c r="KBO1" s="110"/>
      <c r="KBP1" s="110"/>
      <c r="KBQ1" s="110"/>
      <c r="KBR1" s="110"/>
      <c r="KBS1" s="110"/>
      <c r="KBT1" s="110"/>
      <c r="KBU1" s="110"/>
      <c r="KBV1" s="110"/>
      <c r="KBW1" s="110"/>
      <c r="KBX1" s="110"/>
      <c r="KBY1" s="110"/>
      <c r="KBZ1" s="110"/>
      <c r="KCA1" s="110"/>
      <c r="KCB1" s="110"/>
      <c r="KCC1" s="110"/>
      <c r="KCD1" s="110"/>
      <c r="KCE1" s="110"/>
      <c r="KCF1" s="110"/>
      <c r="KCG1" s="110"/>
      <c r="KCH1" s="110"/>
      <c r="KCI1" s="110"/>
      <c r="KCJ1" s="110"/>
      <c r="KCK1" s="110"/>
      <c r="KCL1" s="110"/>
      <c r="KCM1" s="110"/>
      <c r="KCN1" s="110"/>
      <c r="KCO1" s="110"/>
      <c r="KCP1" s="110"/>
      <c r="KCQ1" s="110"/>
      <c r="KCR1" s="110"/>
      <c r="KCS1" s="110"/>
      <c r="KCT1" s="110"/>
      <c r="KCU1" s="110"/>
      <c r="KCV1" s="110"/>
      <c r="KCW1" s="110"/>
      <c r="KCX1" s="110"/>
      <c r="KCY1" s="110"/>
      <c r="KCZ1" s="110"/>
      <c r="KDA1" s="110"/>
      <c r="KDB1" s="110"/>
      <c r="KDC1" s="110"/>
      <c r="KDD1" s="110"/>
      <c r="KDE1" s="110"/>
      <c r="KDF1" s="110"/>
      <c r="KDG1" s="110"/>
      <c r="KDH1" s="110"/>
      <c r="KDI1" s="110"/>
      <c r="KDJ1" s="110"/>
      <c r="KDK1" s="110"/>
      <c r="KDL1" s="110"/>
      <c r="KDM1" s="110"/>
      <c r="KDN1" s="110"/>
      <c r="KDO1" s="110"/>
      <c r="KDP1" s="110"/>
      <c r="KDQ1" s="110"/>
      <c r="KDR1" s="110"/>
      <c r="KDS1" s="110"/>
      <c r="KDT1" s="110"/>
      <c r="KDU1" s="110"/>
      <c r="KDV1" s="110"/>
      <c r="KDW1" s="110"/>
      <c r="KDX1" s="110"/>
      <c r="KDY1" s="110"/>
      <c r="KDZ1" s="110"/>
      <c r="KEA1" s="110"/>
      <c r="KEB1" s="110"/>
      <c r="KEC1" s="110"/>
      <c r="KED1" s="110"/>
      <c r="KEE1" s="110"/>
      <c r="KEF1" s="110"/>
      <c r="KEG1" s="110"/>
      <c r="KEH1" s="110"/>
      <c r="KEI1" s="110"/>
      <c r="KEJ1" s="110"/>
      <c r="KEK1" s="110"/>
      <c r="KEL1" s="110"/>
      <c r="KEM1" s="110"/>
      <c r="KEN1" s="110"/>
      <c r="KEO1" s="110"/>
      <c r="KEP1" s="110"/>
      <c r="KEQ1" s="110"/>
      <c r="KER1" s="110"/>
      <c r="KES1" s="110"/>
      <c r="KET1" s="110"/>
      <c r="KEU1" s="110"/>
      <c r="KEV1" s="110"/>
      <c r="KEW1" s="110"/>
      <c r="KEX1" s="110"/>
      <c r="KEY1" s="110"/>
      <c r="KEZ1" s="110"/>
      <c r="KFA1" s="110"/>
      <c r="KFB1" s="110"/>
      <c r="KFC1" s="110"/>
      <c r="KFD1" s="110"/>
      <c r="KFE1" s="110"/>
      <c r="KFF1" s="110"/>
      <c r="KFG1" s="110"/>
      <c r="KFH1" s="110"/>
      <c r="KFI1" s="110"/>
      <c r="KFJ1" s="110"/>
      <c r="KFK1" s="110"/>
      <c r="KFL1" s="110"/>
      <c r="KFM1" s="110"/>
      <c r="KFN1" s="110"/>
      <c r="KFO1" s="110"/>
      <c r="KFP1" s="110"/>
      <c r="KFQ1" s="110"/>
      <c r="KFR1" s="110"/>
      <c r="KFS1" s="110"/>
      <c r="KFT1" s="110"/>
      <c r="KFU1" s="110"/>
      <c r="KFV1" s="110"/>
      <c r="KFW1" s="110"/>
      <c r="KFX1" s="110"/>
      <c r="KFY1" s="110"/>
      <c r="KFZ1" s="110"/>
      <c r="KGA1" s="110"/>
      <c r="KGB1" s="110"/>
      <c r="KGC1" s="110"/>
      <c r="KGD1" s="110"/>
      <c r="KGE1" s="110"/>
      <c r="KGF1" s="110"/>
      <c r="KGG1" s="110"/>
      <c r="KGH1" s="110"/>
      <c r="KGI1" s="110"/>
      <c r="KGJ1" s="110"/>
      <c r="KGK1" s="110"/>
      <c r="KGL1" s="110"/>
      <c r="KGM1" s="110"/>
      <c r="KGN1" s="110"/>
      <c r="KGO1" s="110"/>
      <c r="KGP1" s="110"/>
      <c r="KGQ1" s="110"/>
      <c r="KGR1" s="110"/>
      <c r="KGS1" s="110"/>
      <c r="KGT1" s="110"/>
      <c r="KGU1" s="110"/>
      <c r="KGV1" s="110"/>
      <c r="KGW1" s="110"/>
      <c r="KGX1" s="110"/>
      <c r="KGY1" s="110"/>
      <c r="KGZ1" s="110"/>
      <c r="KHA1" s="110"/>
      <c r="KHB1" s="110"/>
      <c r="KHC1" s="110"/>
      <c r="KHD1" s="110"/>
      <c r="KHE1" s="110"/>
      <c r="KHF1" s="110"/>
      <c r="KHG1" s="110"/>
      <c r="KHH1" s="110"/>
      <c r="KHI1" s="110"/>
      <c r="KHJ1" s="110"/>
      <c r="KHK1" s="110"/>
      <c r="KHL1" s="110"/>
      <c r="KHM1" s="110"/>
      <c r="KHN1" s="110"/>
      <c r="KHO1" s="110"/>
      <c r="KHP1" s="110"/>
      <c r="KHQ1" s="110"/>
      <c r="KHR1" s="110"/>
      <c r="KHS1" s="110"/>
      <c r="KHT1" s="110"/>
      <c r="KHU1" s="110"/>
      <c r="KHV1" s="110"/>
      <c r="KHW1" s="110"/>
      <c r="KHX1" s="110"/>
      <c r="KHY1" s="110"/>
      <c r="KHZ1" s="110"/>
      <c r="KIA1" s="110"/>
      <c r="KIB1" s="110"/>
      <c r="KIC1" s="110"/>
      <c r="KID1" s="110"/>
      <c r="KIE1" s="110"/>
      <c r="KIF1" s="110"/>
      <c r="KIG1" s="110"/>
      <c r="KIH1" s="110"/>
      <c r="KII1" s="110"/>
      <c r="KIJ1" s="110"/>
      <c r="KIK1" s="110"/>
      <c r="KIL1" s="110"/>
      <c r="KIM1" s="110"/>
      <c r="KIN1" s="110"/>
      <c r="KIO1" s="110"/>
      <c r="KIP1" s="110"/>
      <c r="KIQ1" s="110"/>
      <c r="KIR1" s="110"/>
      <c r="KIS1" s="110"/>
      <c r="KIT1" s="110"/>
      <c r="KIU1" s="110"/>
      <c r="KIV1" s="110"/>
      <c r="KIW1" s="110"/>
      <c r="KIX1" s="110"/>
      <c r="KIY1" s="110"/>
      <c r="KIZ1" s="110"/>
      <c r="KJA1" s="110"/>
      <c r="KJB1" s="110"/>
      <c r="KJC1" s="110"/>
      <c r="KJD1" s="110"/>
      <c r="KJE1" s="110"/>
      <c r="KJF1" s="110"/>
      <c r="KJG1" s="110"/>
      <c r="KJH1" s="110"/>
      <c r="KJI1" s="110"/>
      <c r="KJJ1" s="110"/>
      <c r="KJK1" s="110"/>
      <c r="KJL1" s="110"/>
      <c r="KJM1" s="110"/>
      <c r="KJN1" s="110"/>
      <c r="KJO1" s="110"/>
      <c r="KJP1" s="110"/>
      <c r="KJQ1" s="110"/>
      <c r="KJR1" s="110"/>
      <c r="KJS1" s="110"/>
      <c r="KJT1" s="110"/>
      <c r="KJU1" s="110"/>
      <c r="KJV1" s="110"/>
      <c r="KJW1" s="110"/>
      <c r="KJX1" s="110"/>
      <c r="KJY1" s="110"/>
      <c r="KJZ1" s="110"/>
      <c r="KKA1" s="110"/>
      <c r="KKB1" s="110"/>
      <c r="KKC1" s="110"/>
      <c r="KKD1" s="110"/>
      <c r="KKE1" s="110"/>
      <c r="KKF1" s="110"/>
      <c r="KKG1" s="110"/>
      <c r="KKH1" s="110"/>
      <c r="KKI1" s="110"/>
      <c r="KKJ1" s="110"/>
      <c r="KKK1" s="110"/>
      <c r="KKL1" s="110"/>
      <c r="KKM1" s="110"/>
      <c r="KKN1" s="110"/>
      <c r="KKO1" s="110"/>
      <c r="KKP1" s="110"/>
      <c r="KKQ1" s="110"/>
      <c r="KKR1" s="110"/>
      <c r="KKS1" s="110"/>
      <c r="KKT1" s="110"/>
      <c r="KKU1" s="110"/>
      <c r="KKV1" s="110"/>
      <c r="KKW1" s="110"/>
      <c r="KKX1" s="110"/>
      <c r="KKY1" s="110"/>
      <c r="KKZ1" s="110"/>
      <c r="KLA1" s="110"/>
      <c r="KLB1" s="110"/>
      <c r="KLC1" s="110"/>
      <c r="KLD1" s="110"/>
      <c r="KLE1" s="110"/>
      <c r="KLF1" s="110"/>
      <c r="KLG1" s="110"/>
      <c r="KLH1" s="110"/>
      <c r="KLI1" s="110"/>
      <c r="KLJ1" s="110"/>
      <c r="KLK1" s="110"/>
      <c r="KLL1" s="110"/>
      <c r="KLM1" s="110"/>
      <c r="KLN1" s="110"/>
      <c r="KLO1" s="110"/>
      <c r="KLP1" s="110"/>
      <c r="KLQ1" s="110"/>
      <c r="KLR1" s="110"/>
      <c r="KLS1" s="110"/>
      <c r="KLT1" s="110"/>
      <c r="KLU1" s="110"/>
      <c r="KLV1" s="110"/>
      <c r="KLW1" s="110"/>
      <c r="KLX1" s="110"/>
      <c r="KLY1" s="110"/>
      <c r="KLZ1" s="110"/>
      <c r="KMA1" s="110"/>
      <c r="KMB1" s="110"/>
      <c r="KMC1" s="110"/>
      <c r="KMD1" s="110"/>
      <c r="KME1" s="110"/>
      <c r="KMF1" s="110"/>
      <c r="KMG1" s="110"/>
      <c r="KMH1" s="110"/>
      <c r="KMI1" s="110"/>
      <c r="KMJ1" s="110"/>
      <c r="KMK1" s="110"/>
      <c r="KML1" s="110"/>
      <c r="KMM1" s="110"/>
      <c r="KMN1" s="110"/>
      <c r="KMO1" s="110"/>
      <c r="KMP1" s="110"/>
      <c r="KMQ1" s="110"/>
      <c r="KMR1" s="110"/>
      <c r="KMS1" s="110"/>
      <c r="KMT1" s="110"/>
      <c r="KMU1" s="110"/>
      <c r="KMV1" s="110"/>
      <c r="KMW1" s="110"/>
      <c r="KMX1" s="110"/>
      <c r="KMY1" s="110"/>
      <c r="KMZ1" s="110"/>
      <c r="KNA1" s="110"/>
      <c r="KNB1" s="110"/>
      <c r="KNC1" s="110"/>
      <c r="KND1" s="110"/>
      <c r="KNE1" s="110"/>
      <c r="KNF1" s="110"/>
      <c r="KNG1" s="110"/>
      <c r="KNH1" s="110"/>
      <c r="KNI1" s="110"/>
      <c r="KNJ1" s="110"/>
      <c r="KNK1" s="110"/>
      <c r="KNL1" s="110"/>
      <c r="KNM1" s="110"/>
      <c r="KNN1" s="110"/>
      <c r="KNO1" s="110"/>
      <c r="KNP1" s="110"/>
      <c r="KNQ1" s="110"/>
      <c r="KNR1" s="110"/>
      <c r="KNS1" s="110"/>
      <c r="KNT1" s="110"/>
      <c r="KNU1" s="110"/>
      <c r="KNV1" s="110"/>
      <c r="KNW1" s="110"/>
      <c r="KNX1" s="110"/>
      <c r="KNY1" s="110"/>
      <c r="KNZ1" s="110"/>
      <c r="KOA1" s="110"/>
      <c r="KOB1" s="110"/>
      <c r="KOC1" s="110"/>
      <c r="KOD1" s="110"/>
      <c r="KOE1" s="110"/>
      <c r="KOF1" s="110"/>
      <c r="KOG1" s="110"/>
      <c r="KOH1" s="110"/>
      <c r="KOI1" s="110"/>
      <c r="KOJ1" s="110"/>
      <c r="KOK1" s="110"/>
      <c r="KOL1" s="110"/>
      <c r="KOM1" s="110"/>
      <c r="KON1" s="110"/>
      <c r="KOO1" s="110"/>
      <c r="KOP1" s="110"/>
      <c r="KOQ1" s="110"/>
      <c r="KOR1" s="110"/>
      <c r="KOS1" s="110"/>
      <c r="KOT1" s="110"/>
      <c r="KOU1" s="110"/>
      <c r="KOV1" s="110"/>
      <c r="KOW1" s="110"/>
      <c r="KOX1" s="110"/>
      <c r="KOY1" s="110"/>
      <c r="KOZ1" s="110"/>
      <c r="KPA1" s="110"/>
      <c r="KPB1" s="110"/>
      <c r="KPC1" s="110"/>
      <c r="KPD1" s="110"/>
      <c r="KPE1" s="110"/>
      <c r="KPF1" s="110"/>
      <c r="KPG1" s="110"/>
      <c r="KPH1" s="110"/>
      <c r="KPI1" s="110"/>
      <c r="KPJ1" s="110"/>
      <c r="KPK1" s="110"/>
      <c r="KPL1" s="110"/>
      <c r="KPM1" s="110"/>
      <c r="KPN1" s="110"/>
      <c r="KPO1" s="110"/>
      <c r="KPP1" s="110"/>
      <c r="KPQ1" s="110"/>
      <c r="KPR1" s="110"/>
      <c r="KPS1" s="110"/>
      <c r="KPT1" s="110"/>
      <c r="KPU1" s="110"/>
      <c r="KPV1" s="110"/>
      <c r="KPW1" s="110"/>
      <c r="KPX1" s="110"/>
      <c r="KPY1" s="110"/>
      <c r="KPZ1" s="110"/>
      <c r="KQA1" s="110"/>
      <c r="KQB1" s="110"/>
      <c r="KQC1" s="110"/>
      <c r="KQD1" s="110"/>
      <c r="KQE1" s="110"/>
      <c r="KQF1" s="110"/>
      <c r="KQG1" s="110"/>
      <c r="KQH1" s="110"/>
      <c r="KQI1" s="110"/>
      <c r="KQJ1" s="110"/>
      <c r="KQK1" s="110"/>
      <c r="KQL1" s="110"/>
      <c r="KQM1" s="110"/>
      <c r="KQN1" s="110"/>
      <c r="KQO1" s="110"/>
      <c r="KQP1" s="110"/>
      <c r="KQQ1" s="110"/>
      <c r="KQR1" s="110"/>
      <c r="KQS1" s="110"/>
      <c r="KQT1" s="110"/>
      <c r="KQU1" s="110"/>
      <c r="KQV1" s="110"/>
      <c r="KQW1" s="110"/>
      <c r="KQX1" s="110"/>
      <c r="KQY1" s="110"/>
      <c r="KQZ1" s="110"/>
      <c r="KRA1" s="110"/>
      <c r="KRB1" s="110"/>
      <c r="KRC1" s="110"/>
      <c r="KRD1" s="110"/>
      <c r="KRE1" s="110"/>
      <c r="KRF1" s="110"/>
      <c r="KRG1" s="110"/>
      <c r="KRH1" s="110"/>
      <c r="KRI1" s="110"/>
      <c r="KRJ1" s="110"/>
      <c r="KRK1" s="110"/>
      <c r="KRL1" s="110"/>
      <c r="KRM1" s="110"/>
      <c r="KRN1" s="110"/>
      <c r="KRO1" s="110"/>
      <c r="KRP1" s="110"/>
      <c r="KRQ1" s="110"/>
      <c r="KRR1" s="110"/>
      <c r="KRS1" s="110"/>
      <c r="KRT1" s="110"/>
      <c r="KRU1" s="110"/>
      <c r="KRV1" s="110"/>
      <c r="KRW1" s="110"/>
      <c r="KRX1" s="110"/>
      <c r="KRY1" s="110"/>
      <c r="KRZ1" s="110"/>
      <c r="KSA1" s="110"/>
      <c r="KSB1" s="110"/>
      <c r="KSC1" s="110"/>
      <c r="KSD1" s="110"/>
      <c r="KSE1" s="110"/>
      <c r="KSF1" s="110"/>
      <c r="KSG1" s="110"/>
      <c r="KSH1" s="110"/>
      <c r="KSI1" s="110"/>
      <c r="KSJ1" s="110"/>
      <c r="KSK1" s="110"/>
      <c r="KSL1" s="110"/>
      <c r="KSM1" s="110"/>
      <c r="KSN1" s="110"/>
      <c r="KSO1" s="110"/>
      <c r="KSP1" s="110"/>
      <c r="KSQ1" s="110"/>
      <c r="KSR1" s="110"/>
      <c r="KSS1" s="110"/>
      <c r="KST1" s="110"/>
      <c r="KSU1" s="110"/>
      <c r="KSV1" s="110"/>
      <c r="KSW1" s="110"/>
      <c r="KSX1" s="110"/>
      <c r="KSY1" s="110"/>
      <c r="KSZ1" s="110"/>
      <c r="KTA1" s="110"/>
      <c r="KTB1" s="110"/>
      <c r="KTC1" s="110"/>
      <c r="KTD1" s="110"/>
      <c r="KTE1" s="110"/>
      <c r="KTF1" s="110"/>
      <c r="KTG1" s="110"/>
      <c r="KTH1" s="110"/>
      <c r="KTI1" s="110"/>
      <c r="KTJ1" s="110"/>
      <c r="KTK1" s="110"/>
      <c r="KTL1" s="110"/>
      <c r="KTM1" s="110"/>
      <c r="KTN1" s="110"/>
      <c r="KTO1" s="110"/>
      <c r="KTP1" s="110"/>
      <c r="KTQ1" s="110"/>
      <c r="KTR1" s="110"/>
      <c r="KTS1" s="110"/>
      <c r="KTT1" s="110"/>
      <c r="KTU1" s="110"/>
      <c r="KTV1" s="110"/>
      <c r="KTW1" s="110"/>
      <c r="KTX1" s="110"/>
      <c r="KTY1" s="110"/>
      <c r="KTZ1" s="110"/>
      <c r="KUA1" s="110"/>
      <c r="KUB1" s="110"/>
      <c r="KUC1" s="110"/>
      <c r="KUD1" s="110"/>
      <c r="KUE1" s="110"/>
      <c r="KUF1" s="110"/>
      <c r="KUG1" s="110"/>
      <c r="KUH1" s="110"/>
      <c r="KUI1" s="110"/>
      <c r="KUJ1" s="110"/>
      <c r="KUK1" s="110"/>
      <c r="KUL1" s="110"/>
      <c r="KUM1" s="110"/>
      <c r="KUN1" s="110"/>
      <c r="KUO1" s="110"/>
      <c r="KUP1" s="110"/>
      <c r="KUQ1" s="110"/>
      <c r="KUR1" s="110"/>
      <c r="KUS1" s="110"/>
      <c r="KUT1" s="110"/>
      <c r="KUU1" s="110"/>
      <c r="KUV1" s="110"/>
      <c r="KUW1" s="110"/>
      <c r="KUX1" s="110"/>
      <c r="KUY1" s="110"/>
      <c r="KUZ1" s="110"/>
      <c r="KVA1" s="110"/>
      <c r="KVB1" s="110"/>
      <c r="KVC1" s="110"/>
      <c r="KVD1" s="110"/>
      <c r="KVE1" s="110"/>
      <c r="KVF1" s="110"/>
      <c r="KVG1" s="110"/>
      <c r="KVH1" s="110"/>
      <c r="KVI1" s="110"/>
      <c r="KVJ1" s="110"/>
      <c r="KVK1" s="110"/>
      <c r="KVL1" s="110"/>
      <c r="KVM1" s="110"/>
      <c r="KVN1" s="110"/>
      <c r="KVO1" s="110"/>
      <c r="KVP1" s="110"/>
      <c r="KVQ1" s="110"/>
      <c r="KVR1" s="110"/>
      <c r="KVS1" s="110"/>
      <c r="KVT1" s="110"/>
      <c r="KVU1" s="110"/>
      <c r="KVV1" s="110"/>
      <c r="KVW1" s="110"/>
      <c r="KVX1" s="110"/>
      <c r="KVY1" s="110"/>
      <c r="KVZ1" s="110"/>
      <c r="KWA1" s="110"/>
      <c r="KWB1" s="110"/>
      <c r="KWC1" s="110"/>
      <c r="KWD1" s="110"/>
      <c r="KWE1" s="110"/>
      <c r="KWF1" s="110"/>
      <c r="KWG1" s="110"/>
      <c r="KWH1" s="110"/>
      <c r="KWI1" s="110"/>
      <c r="KWJ1" s="110"/>
      <c r="KWK1" s="110"/>
      <c r="KWL1" s="110"/>
      <c r="KWM1" s="110"/>
      <c r="KWN1" s="110"/>
      <c r="KWO1" s="110"/>
      <c r="KWP1" s="110"/>
      <c r="KWQ1" s="110"/>
      <c r="KWR1" s="110"/>
      <c r="KWS1" s="110"/>
      <c r="KWT1" s="110"/>
      <c r="KWU1" s="110"/>
      <c r="KWV1" s="110"/>
      <c r="KWW1" s="110"/>
      <c r="KWX1" s="110"/>
      <c r="KWY1" s="110"/>
      <c r="KWZ1" s="110"/>
      <c r="KXA1" s="110"/>
      <c r="KXB1" s="110"/>
      <c r="KXC1" s="110"/>
      <c r="KXD1" s="110"/>
      <c r="KXE1" s="110"/>
      <c r="KXF1" s="110"/>
      <c r="KXG1" s="110"/>
      <c r="KXH1" s="110"/>
      <c r="KXI1" s="110"/>
      <c r="KXJ1" s="110"/>
      <c r="KXK1" s="110"/>
      <c r="KXL1" s="110"/>
      <c r="KXM1" s="110"/>
      <c r="KXN1" s="110"/>
      <c r="KXO1" s="110"/>
      <c r="KXP1" s="110"/>
      <c r="KXQ1" s="110"/>
      <c r="KXR1" s="110"/>
      <c r="KXS1" s="110"/>
      <c r="KXT1" s="110"/>
      <c r="KXU1" s="110"/>
      <c r="KXV1" s="110"/>
      <c r="KXW1" s="110"/>
      <c r="KXX1" s="110"/>
      <c r="KXY1" s="110"/>
      <c r="KXZ1" s="110"/>
      <c r="KYA1" s="110"/>
      <c r="KYB1" s="110"/>
      <c r="KYC1" s="110"/>
      <c r="KYD1" s="110"/>
      <c r="KYE1" s="110"/>
      <c r="KYF1" s="110"/>
      <c r="KYG1" s="110"/>
      <c r="KYH1" s="110"/>
      <c r="KYI1" s="110"/>
      <c r="KYJ1" s="110"/>
      <c r="KYK1" s="110"/>
      <c r="KYL1" s="110"/>
      <c r="KYM1" s="110"/>
      <c r="KYN1" s="110"/>
      <c r="KYO1" s="110"/>
      <c r="KYP1" s="110"/>
      <c r="KYQ1" s="110"/>
      <c r="KYR1" s="110"/>
      <c r="KYS1" s="110"/>
      <c r="KYT1" s="110"/>
      <c r="KYU1" s="110"/>
      <c r="KYV1" s="110"/>
      <c r="KYW1" s="110"/>
      <c r="KYX1" s="110"/>
      <c r="KYY1" s="110"/>
      <c r="KYZ1" s="110"/>
      <c r="KZA1" s="110"/>
      <c r="KZB1" s="110"/>
      <c r="KZC1" s="110"/>
      <c r="KZD1" s="110"/>
      <c r="KZE1" s="110"/>
      <c r="KZF1" s="110"/>
      <c r="KZG1" s="110"/>
      <c r="KZH1" s="110"/>
      <c r="KZI1" s="110"/>
      <c r="KZJ1" s="110"/>
      <c r="KZK1" s="110"/>
      <c r="KZL1" s="110"/>
      <c r="KZM1" s="110"/>
      <c r="KZN1" s="110"/>
      <c r="KZO1" s="110"/>
      <c r="KZP1" s="110"/>
      <c r="KZQ1" s="110"/>
      <c r="KZR1" s="110"/>
      <c r="KZS1" s="110"/>
      <c r="KZT1" s="110"/>
      <c r="KZU1" s="110"/>
      <c r="KZV1" s="110"/>
      <c r="KZW1" s="110"/>
      <c r="KZX1" s="110"/>
      <c r="KZY1" s="110"/>
      <c r="KZZ1" s="110"/>
      <c r="LAA1" s="110"/>
      <c r="LAB1" s="110"/>
      <c r="LAC1" s="110"/>
      <c r="LAD1" s="110"/>
      <c r="LAE1" s="110"/>
      <c r="LAF1" s="110"/>
      <c r="LAG1" s="110"/>
      <c r="LAH1" s="110"/>
      <c r="LAI1" s="110"/>
      <c r="LAJ1" s="110"/>
      <c r="LAK1" s="110"/>
      <c r="LAL1" s="110"/>
      <c r="LAM1" s="110"/>
      <c r="LAN1" s="110"/>
      <c r="LAO1" s="110"/>
      <c r="LAP1" s="110"/>
      <c r="LAQ1" s="110"/>
      <c r="LAR1" s="110"/>
      <c r="LAS1" s="110"/>
      <c r="LAT1" s="110"/>
      <c r="LAU1" s="110"/>
      <c r="LAV1" s="110"/>
      <c r="LAW1" s="110"/>
      <c r="LAX1" s="110"/>
      <c r="LAY1" s="110"/>
      <c r="LAZ1" s="110"/>
      <c r="LBA1" s="110"/>
      <c r="LBB1" s="110"/>
      <c r="LBC1" s="110"/>
      <c r="LBD1" s="110"/>
      <c r="LBE1" s="110"/>
      <c r="LBF1" s="110"/>
      <c r="LBG1" s="110"/>
      <c r="LBH1" s="110"/>
      <c r="LBI1" s="110"/>
      <c r="LBJ1" s="110"/>
      <c r="LBK1" s="110"/>
      <c r="LBL1" s="110"/>
      <c r="LBM1" s="110"/>
      <c r="LBN1" s="110"/>
      <c r="LBO1" s="110"/>
      <c r="LBP1" s="110"/>
      <c r="LBQ1" s="110"/>
      <c r="LBR1" s="110"/>
      <c r="LBS1" s="110"/>
      <c r="LBT1" s="110"/>
      <c r="LBU1" s="110"/>
      <c r="LBV1" s="110"/>
      <c r="LBW1" s="110"/>
      <c r="LBX1" s="110"/>
      <c r="LBY1" s="110"/>
      <c r="LBZ1" s="110"/>
      <c r="LCA1" s="110"/>
      <c r="LCB1" s="110"/>
      <c r="LCC1" s="110"/>
      <c r="LCD1" s="110"/>
      <c r="LCE1" s="110"/>
      <c r="LCF1" s="110"/>
      <c r="LCG1" s="110"/>
      <c r="LCH1" s="110"/>
      <c r="LCI1" s="110"/>
      <c r="LCJ1" s="110"/>
      <c r="LCK1" s="110"/>
      <c r="LCL1" s="110"/>
      <c r="LCM1" s="110"/>
      <c r="LCN1" s="110"/>
      <c r="LCO1" s="110"/>
      <c r="LCP1" s="110"/>
      <c r="LCQ1" s="110"/>
      <c r="LCR1" s="110"/>
      <c r="LCS1" s="110"/>
      <c r="LCT1" s="110"/>
      <c r="LCU1" s="110"/>
      <c r="LCV1" s="110"/>
      <c r="LCW1" s="110"/>
      <c r="LCX1" s="110"/>
      <c r="LCY1" s="110"/>
      <c r="LCZ1" s="110"/>
      <c r="LDA1" s="110"/>
      <c r="LDB1" s="110"/>
      <c r="LDC1" s="110"/>
      <c r="LDD1" s="110"/>
      <c r="LDE1" s="110"/>
      <c r="LDF1" s="110"/>
      <c r="LDG1" s="110"/>
      <c r="LDH1" s="110"/>
      <c r="LDI1" s="110"/>
      <c r="LDJ1" s="110"/>
      <c r="LDK1" s="110"/>
      <c r="LDL1" s="110"/>
      <c r="LDM1" s="110"/>
      <c r="LDN1" s="110"/>
      <c r="LDO1" s="110"/>
      <c r="LDP1" s="110"/>
      <c r="LDQ1" s="110"/>
      <c r="LDR1" s="110"/>
      <c r="LDS1" s="110"/>
      <c r="LDT1" s="110"/>
      <c r="LDU1" s="110"/>
      <c r="LDV1" s="110"/>
      <c r="LDW1" s="110"/>
      <c r="LDX1" s="110"/>
      <c r="LDY1" s="110"/>
      <c r="LDZ1" s="110"/>
      <c r="LEA1" s="110"/>
      <c r="LEB1" s="110"/>
      <c r="LEC1" s="110"/>
      <c r="LED1" s="110"/>
      <c r="LEE1" s="110"/>
      <c r="LEF1" s="110"/>
      <c r="LEG1" s="110"/>
      <c r="LEH1" s="110"/>
      <c r="LEI1" s="110"/>
      <c r="LEJ1" s="110"/>
      <c r="LEK1" s="110"/>
      <c r="LEL1" s="110"/>
      <c r="LEM1" s="110"/>
      <c r="LEN1" s="110"/>
      <c r="LEO1" s="110"/>
      <c r="LEP1" s="110"/>
      <c r="LEQ1" s="110"/>
      <c r="LER1" s="110"/>
      <c r="LES1" s="110"/>
      <c r="LET1" s="110"/>
      <c r="LEU1" s="110"/>
      <c r="LEV1" s="110"/>
      <c r="LEW1" s="110"/>
      <c r="LEX1" s="110"/>
      <c r="LEY1" s="110"/>
      <c r="LEZ1" s="110"/>
      <c r="LFA1" s="110"/>
      <c r="LFB1" s="110"/>
      <c r="LFC1" s="110"/>
      <c r="LFD1" s="110"/>
      <c r="LFE1" s="110"/>
      <c r="LFF1" s="110"/>
      <c r="LFG1" s="110"/>
      <c r="LFH1" s="110"/>
      <c r="LFI1" s="110"/>
      <c r="LFJ1" s="110"/>
      <c r="LFK1" s="110"/>
      <c r="LFL1" s="110"/>
      <c r="LFM1" s="110"/>
      <c r="LFN1" s="110"/>
      <c r="LFO1" s="110"/>
      <c r="LFP1" s="110"/>
      <c r="LFQ1" s="110"/>
      <c r="LFR1" s="110"/>
      <c r="LFS1" s="110"/>
      <c r="LFT1" s="110"/>
      <c r="LFU1" s="110"/>
      <c r="LFV1" s="110"/>
      <c r="LFW1" s="110"/>
      <c r="LFX1" s="110"/>
      <c r="LFY1" s="110"/>
      <c r="LFZ1" s="110"/>
      <c r="LGA1" s="110"/>
      <c r="LGB1" s="110"/>
      <c r="LGC1" s="110"/>
      <c r="LGD1" s="110"/>
      <c r="LGE1" s="110"/>
      <c r="LGF1" s="110"/>
      <c r="LGG1" s="110"/>
      <c r="LGH1" s="110"/>
      <c r="LGI1" s="110"/>
      <c r="LGJ1" s="110"/>
      <c r="LGK1" s="110"/>
      <c r="LGL1" s="110"/>
      <c r="LGM1" s="110"/>
      <c r="LGN1" s="110"/>
      <c r="LGO1" s="110"/>
      <c r="LGP1" s="110"/>
      <c r="LGQ1" s="110"/>
      <c r="LGR1" s="110"/>
      <c r="LGS1" s="110"/>
      <c r="LGT1" s="110"/>
      <c r="LGU1" s="110"/>
      <c r="LGV1" s="110"/>
      <c r="LGW1" s="110"/>
      <c r="LGX1" s="110"/>
      <c r="LGY1" s="110"/>
      <c r="LGZ1" s="110"/>
      <c r="LHA1" s="110"/>
      <c r="LHB1" s="110"/>
      <c r="LHC1" s="110"/>
      <c r="LHD1" s="110"/>
      <c r="LHE1" s="110"/>
      <c r="LHF1" s="110"/>
      <c r="LHG1" s="110"/>
      <c r="LHH1" s="110"/>
      <c r="LHI1" s="110"/>
      <c r="LHJ1" s="110"/>
      <c r="LHK1" s="110"/>
      <c r="LHL1" s="110"/>
      <c r="LHM1" s="110"/>
      <c r="LHN1" s="110"/>
      <c r="LHO1" s="110"/>
      <c r="LHP1" s="110"/>
      <c r="LHQ1" s="110"/>
      <c r="LHR1" s="110"/>
      <c r="LHS1" s="110"/>
      <c r="LHT1" s="110"/>
      <c r="LHU1" s="110"/>
      <c r="LHV1" s="110"/>
      <c r="LHW1" s="110"/>
      <c r="LHX1" s="110"/>
      <c r="LHY1" s="110"/>
      <c r="LHZ1" s="110"/>
      <c r="LIA1" s="110"/>
      <c r="LIB1" s="110"/>
      <c r="LIC1" s="110"/>
      <c r="LID1" s="110"/>
      <c r="LIE1" s="110"/>
      <c r="LIF1" s="110"/>
      <c r="LIG1" s="110"/>
      <c r="LIH1" s="110"/>
      <c r="LII1" s="110"/>
      <c r="LIJ1" s="110"/>
      <c r="LIK1" s="110"/>
      <c r="LIL1" s="110"/>
      <c r="LIM1" s="110"/>
      <c r="LIN1" s="110"/>
      <c r="LIO1" s="110"/>
      <c r="LIP1" s="110"/>
      <c r="LIQ1" s="110"/>
      <c r="LIR1" s="110"/>
      <c r="LIS1" s="110"/>
      <c r="LIT1" s="110"/>
      <c r="LIU1" s="110"/>
      <c r="LIV1" s="110"/>
      <c r="LIW1" s="110"/>
      <c r="LIX1" s="110"/>
      <c r="LIY1" s="110"/>
      <c r="LIZ1" s="110"/>
      <c r="LJA1" s="110"/>
      <c r="LJB1" s="110"/>
      <c r="LJC1" s="110"/>
      <c r="LJD1" s="110"/>
      <c r="LJE1" s="110"/>
      <c r="LJF1" s="110"/>
      <c r="LJG1" s="110"/>
      <c r="LJH1" s="110"/>
      <c r="LJI1" s="110"/>
      <c r="LJJ1" s="110"/>
      <c r="LJK1" s="110"/>
      <c r="LJL1" s="110"/>
      <c r="LJM1" s="110"/>
      <c r="LJN1" s="110"/>
      <c r="LJO1" s="110"/>
      <c r="LJP1" s="110"/>
      <c r="LJQ1" s="110"/>
      <c r="LJR1" s="110"/>
      <c r="LJS1" s="110"/>
      <c r="LJT1" s="110"/>
      <c r="LJU1" s="110"/>
      <c r="LJV1" s="110"/>
      <c r="LJW1" s="110"/>
      <c r="LJX1" s="110"/>
      <c r="LJY1" s="110"/>
      <c r="LJZ1" s="110"/>
      <c r="LKA1" s="110"/>
      <c r="LKB1" s="110"/>
      <c r="LKC1" s="110"/>
      <c r="LKD1" s="110"/>
      <c r="LKE1" s="110"/>
      <c r="LKF1" s="110"/>
      <c r="LKG1" s="110"/>
      <c r="LKH1" s="110"/>
      <c r="LKI1" s="110"/>
      <c r="LKJ1" s="110"/>
      <c r="LKK1" s="110"/>
      <c r="LKL1" s="110"/>
      <c r="LKM1" s="110"/>
      <c r="LKN1" s="110"/>
      <c r="LKO1" s="110"/>
      <c r="LKP1" s="110"/>
      <c r="LKQ1" s="110"/>
      <c r="LKR1" s="110"/>
      <c r="LKS1" s="110"/>
      <c r="LKT1" s="110"/>
      <c r="LKU1" s="110"/>
      <c r="LKV1" s="110"/>
      <c r="LKW1" s="110"/>
      <c r="LKX1" s="110"/>
      <c r="LKY1" s="110"/>
      <c r="LKZ1" s="110"/>
      <c r="LLA1" s="110"/>
      <c r="LLB1" s="110"/>
      <c r="LLC1" s="110"/>
      <c r="LLD1" s="110"/>
      <c r="LLE1" s="110"/>
      <c r="LLF1" s="110"/>
      <c r="LLG1" s="110"/>
      <c r="LLH1" s="110"/>
      <c r="LLI1" s="110"/>
      <c r="LLJ1" s="110"/>
      <c r="LLK1" s="110"/>
      <c r="LLL1" s="110"/>
      <c r="LLM1" s="110"/>
      <c r="LLN1" s="110"/>
      <c r="LLO1" s="110"/>
      <c r="LLP1" s="110"/>
      <c r="LLQ1" s="110"/>
      <c r="LLR1" s="110"/>
      <c r="LLS1" s="110"/>
      <c r="LLT1" s="110"/>
      <c r="LLU1" s="110"/>
      <c r="LLV1" s="110"/>
      <c r="LLW1" s="110"/>
      <c r="LLX1" s="110"/>
      <c r="LLY1" s="110"/>
      <c r="LLZ1" s="110"/>
      <c r="LMA1" s="110"/>
      <c r="LMB1" s="110"/>
      <c r="LMC1" s="110"/>
      <c r="LMD1" s="110"/>
      <c r="LME1" s="110"/>
      <c r="LMF1" s="110"/>
      <c r="LMG1" s="110"/>
      <c r="LMH1" s="110"/>
      <c r="LMI1" s="110"/>
      <c r="LMJ1" s="110"/>
      <c r="LMK1" s="110"/>
      <c r="LML1" s="110"/>
      <c r="LMM1" s="110"/>
      <c r="LMN1" s="110"/>
      <c r="LMO1" s="110"/>
      <c r="LMP1" s="110"/>
      <c r="LMQ1" s="110"/>
      <c r="LMR1" s="110"/>
      <c r="LMS1" s="110"/>
      <c r="LMT1" s="110"/>
      <c r="LMU1" s="110"/>
      <c r="LMV1" s="110"/>
      <c r="LMW1" s="110"/>
      <c r="LMX1" s="110"/>
      <c r="LMY1" s="110"/>
      <c r="LMZ1" s="110"/>
      <c r="LNA1" s="110"/>
      <c r="LNB1" s="110"/>
      <c r="LNC1" s="110"/>
      <c r="LND1" s="110"/>
      <c r="LNE1" s="110"/>
      <c r="LNF1" s="110"/>
      <c r="LNG1" s="110"/>
      <c r="LNH1" s="110"/>
      <c r="LNI1" s="110"/>
      <c r="LNJ1" s="110"/>
      <c r="LNK1" s="110"/>
      <c r="LNL1" s="110"/>
      <c r="LNM1" s="110"/>
      <c r="LNN1" s="110"/>
      <c r="LNO1" s="110"/>
      <c r="LNP1" s="110"/>
      <c r="LNQ1" s="110"/>
      <c r="LNR1" s="110"/>
      <c r="LNS1" s="110"/>
      <c r="LNT1" s="110"/>
      <c r="LNU1" s="110"/>
      <c r="LNV1" s="110"/>
      <c r="LNW1" s="110"/>
      <c r="LNX1" s="110"/>
      <c r="LNY1" s="110"/>
      <c r="LNZ1" s="110"/>
      <c r="LOA1" s="110"/>
      <c r="LOB1" s="110"/>
      <c r="LOC1" s="110"/>
      <c r="LOD1" s="110"/>
      <c r="LOE1" s="110"/>
      <c r="LOF1" s="110"/>
      <c r="LOG1" s="110"/>
      <c r="LOH1" s="110"/>
      <c r="LOI1" s="110"/>
      <c r="LOJ1" s="110"/>
      <c r="LOK1" s="110"/>
      <c r="LOL1" s="110"/>
      <c r="LOM1" s="110"/>
      <c r="LON1" s="110"/>
      <c r="LOO1" s="110"/>
      <c r="LOP1" s="110"/>
      <c r="LOQ1" s="110"/>
      <c r="LOR1" s="110"/>
      <c r="LOS1" s="110"/>
      <c r="LOT1" s="110"/>
      <c r="LOU1" s="110"/>
      <c r="LOV1" s="110"/>
      <c r="LOW1" s="110"/>
      <c r="LOX1" s="110"/>
      <c r="LOY1" s="110"/>
      <c r="LOZ1" s="110"/>
      <c r="LPA1" s="110"/>
      <c r="LPB1" s="110"/>
      <c r="LPC1" s="110"/>
      <c r="LPD1" s="110"/>
      <c r="LPE1" s="110"/>
      <c r="LPF1" s="110"/>
      <c r="LPG1" s="110"/>
      <c r="LPH1" s="110"/>
      <c r="LPI1" s="110"/>
      <c r="LPJ1" s="110"/>
      <c r="LPK1" s="110"/>
      <c r="LPL1" s="110"/>
      <c r="LPM1" s="110"/>
      <c r="LPN1" s="110"/>
      <c r="LPO1" s="110"/>
      <c r="LPP1" s="110"/>
      <c r="LPQ1" s="110"/>
      <c r="LPR1" s="110"/>
      <c r="LPS1" s="110"/>
      <c r="LPT1" s="110"/>
      <c r="LPU1" s="110"/>
      <c r="LPV1" s="110"/>
      <c r="LPW1" s="110"/>
      <c r="LPX1" s="110"/>
      <c r="LPY1" s="110"/>
      <c r="LPZ1" s="110"/>
      <c r="LQA1" s="110"/>
      <c r="LQB1" s="110"/>
      <c r="LQC1" s="110"/>
      <c r="LQD1" s="110"/>
      <c r="LQE1" s="110"/>
      <c r="LQF1" s="110"/>
      <c r="LQG1" s="110"/>
      <c r="LQH1" s="110"/>
      <c r="LQI1" s="110"/>
      <c r="LQJ1" s="110"/>
      <c r="LQK1" s="110"/>
      <c r="LQL1" s="110"/>
      <c r="LQM1" s="110"/>
      <c r="LQN1" s="110"/>
      <c r="LQO1" s="110"/>
      <c r="LQP1" s="110"/>
      <c r="LQQ1" s="110"/>
      <c r="LQR1" s="110"/>
      <c r="LQS1" s="110"/>
      <c r="LQT1" s="110"/>
      <c r="LQU1" s="110"/>
      <c r="LQV1" s="110"/>
      <c r="LQW1" s="110"/>
      <c r="LQX1" s="110"/>
      <c r="LQY1" s="110"/>
      <c r="LQZ1" s="110"/>
      <c r="LRA1" s="110"/>
      <c r="LRB1" s="110"/>
      <c r="LRC1" s="110"/>
      <c r="LRD1" s="110"/>
      <c r="LRE1" s="110"/>
      <c r="LRF1" s="110"/>
      <c r="LRG1" s="110"/>
      <c r="LRH1" s="110"/>
      <c r="LRI1" s="110"/>
      <c r="LRJ1" s="110"/>
      <c r="LRK1" s="110"/>
      <c r="LRL1" s="110"/>
      <c r="LRM1" s="110"/>
      <c r="LRN1" s="110"/>
      <c r="LRO1" s="110"/>
      <c r="LRP1" s="110"/>
      <c r="LRQ1" s="110"/>
      <c r="LRR1" s="110"/>
      <c r="LRS1" s="110"/>
      <c r="LRT1" s="110"/>
      <c r="LRU1" s="110"/>
      <c r="LRV1" s="110"/>
      <c r="LRW1" s="110"/>
      <c r="LRX1" s="110"/>
      <c r="LRY1" s="110"/>
      <c r="LRZ1" s="110"/>
      <c r="LSA1" s="110"/>
      <c r="LSB1" s="110"/>
      <c r="LSC1" s="110"/>
      <c r="LSD1" s="110"/>
      <c r="LSE1" s="110"/>
      <c r="LSF1" s="110"/>
      <c r="LSG1" s="110"/>
      <c r="LSH1" s="110"/>
      <c r="LSI1" s="110"/>
      <c r="LSJ1" s="110"/>
      <c r="LSK1" s="110"/>
      <c r="LSL1" s="110"/>
      <c r="LSM1" s="110"/>
      <c r="LSN1" s="110"/>
      <c r="LSO1" s="110"/>
      <c r="LSP1" s="110"/>
      <c r="LSQ1" s="110"/>
      <c r="LSR1" s="110"/>
      <c r="LSS1" s="110"/>
      <c r="LST1" s="110"/>
      <c r="LSU1" s="110"/>
      <c r="LSV1" s="110"/>
      <c r="LSW1" s="110"/>
      <c r="LSX1" s="110"/>
      <c r="LSY1" s="110"/>
      <c r="LSZ1" s="110"/>
      <c r="LTA1" s="110"/>
      <c r="LTB1" s="110"/>
      <c r="LTC1" s="110"/>
      <c r="LTD1" s="110"/>
      <c r="LTE1" s="110"/>
      <c r="LTF1" s="110"/>
      <c r="LTG1" s="110"/>
      <c r="LTH1" s="110"/>
      <c r="LTI1" s="110"/>
      <c r="LTJ1" s="110"/>
      <c r="LTK1" s="110"/>
      <c r="LTL1" s="110"/>
      <c r="LTM1" s="110"/>
      <c r="LTN1" s="110"/>
      <c r="LTO1" s="110"/>
      <c r="LTP1" s="110"/>
      <c r="LTQ1" s="110"/>
      <c r="LTR1" s="110"/>
      <c r="LTS1" s="110"/>
      <c r="LTT1" s="110"/>
      <c r="LTU1" s="110"/>
      <c r="LTV1" s="110"/>
      <c r="LTW1" s="110"/>
      <c r="LTX1" s="110"/>
      <c r="LTY1" s="110"/>
      <c r="LTZ1" s="110"/>
      <c r="LUA1" s="110"/>
      <c r="LUB1" s="110"/>
      <c r="LUC1" s="110"/>
      <c r="LUD1" s="110"/>
      <c r="LUE1" s="110"/>
      <c r="LUF1" s="110"/>
      <c r="LUG1" s="110"/>
      <c r="LUH1" s="110"/>
      <c r="LUI1" s="110"/>
      <c r="LUJ1" s="110"/>
      <c r="LUK1" s="110"/>
      <c r="LUL1" s="110"/>
      <c r="LUM1" s="110"/>
      <c r="LUN1" s="110"/>
      <c r="LUO1" s="110"/>
      <c r="LUP1" s="110"/>
      <c r="LUQ1" s="110"/>
      <c r="LUR1" s="110"/>
      <c r="LUS1" s="110"/>
      <c r="LUT1" s="110"/>
      <c r="LUU1" s="110"/>
      <c r="LUV1" s="110"/>
      <c r="LUW1" s="110"/>
      <c r="LUX1" s="110"/>
      <c r="LUY1" s="110"/>
      <c r="LUZ1" s="110"/>
      <c r="LVA1" s="110"/>
      <c r="LVB1" s="110"/>
      <c r="LVC1" s="110"/>
      <c r="LVD1" s="110"/>
      <c r="LVE1" s="110"/>
      <c r="LVF1" s="110"/>
      <c r="LVG1" s="110"/>
      <c r="LVH1" s="110"/>
      <c r="LVI1" s="110"/>
      <c r="LVJ1" s="110"/>
      <c r="LVK1" s="110"/>
      <c r="LVL1" s="110"/>
      <c r="LVM1" s="110"/>
      <c r="LVN1" s="110"/>
      <c r="LVO1" s="110"/>
      <c r="LVP1" s="110"/>
      <c r="LVQ1" s="110"/>
      <c r="LVR1" s="110"/>
      <c r="LVS1" s="110"/>
      <c r="LVT1" s="110"/>
      <c r="LVU1" s="110"/>
      <c r="LVV1" s="110"/>
      <c r="LVW1" s="110"/>
      <c r="LVX1" s="110"/>
      <c r="LVY1" s="110"/>
      <c r="LVZ1" s="110"/>
      <c r="LWA1" s="110"/>
      <c r="LWB1" s="110"/>
      <c r="LWC1" s="110"/>
      <c r="LWD1" s="110"/>
      <c r="LWE1" s="110"/>
      <c r="LWF1" s="110"/>
      <c r="LWG1" s="110"/>
      <c r="LWH1" s="110"/>
      <c r="LWI1" s="110"/>
      <c r="LWJ1" s="110"/>
      <c r="LWK1" s="110"/>
      <c r="LWL1" s="110"/>
      <c r="LWM1" s="110"/>
      <c r="LWN1" s="110"/>
      <c r="LWO1" s="110"/>
      <c r="LWP1" s="110"/>
      <c r="LWQ1" s="110"/>
      <c r="LWR1" s="110"/>
      <c r="LWS1" s="110"/>
      <c r="LWT1" s="110"/>
      <c r="LWU1" s="110"/>
      <c r="LWV1" s="110"/>
      <c r="LWW1" s="110"/>
      <c r="LWX1" s="110"/>
      <c r="LWY1" s="110"/>
      <c r="LWZ1" s="110"/>
      <c r="LXA1" s="110"/>
      <c r="LXB1" s="110"/>
      <c r="LXC1" s="110"/>
      <c r="LXD1" s="110"/>
      <c r="LXE1" s="110"/>
      <c r="LXF1" s="110"/>
      <c r="LXG1" s="110"/>
      <c r="LXH1" s="110"/>
      <c r="LXI1" s="110"/>
      <c r="LXJ1" s="110"/>
      <c r="LXK1" s="110"/>
      <c r="LXL1" s="110"/>
      <c r="LXM1" s="110"/>
      <c r="LXN1" s="110"/>
      <c r="LXO1" s="110"/>
      <c r="LXP1" s="110"/>
      <c r="LXQ1" s="110"/>
      <c r="LXR1" s="110"/>
      <c r="LXS1" s="110"/>
      <c r="LXT1" s="110"/>
      <c r="LXU1" s="110"/>
      <c r="LXV1" s="110"/>
      <c r="LXW1" s="110"/>
      <c r="LXX1" s="110"/>
      <c r="LXY1" s="110"/>
      <c r="LXZ1" s="110"/>
      <c r="LYA1" s="110"/>
      <c r="LYB1" s="110"/>
      <c r="LYC1" s="110"/>
      <c r="LYD1" s="110"/>
      <c r="LYE1" s="110"/>
      <c r="LYF1" s="110"/>
      <c r="LYG1" s="110"/>
      <c r="LYH1" s="110"/>
      <c r="LYI1" s="110"/>
      <c r="LYJ1" s="110"/>
      <c r="LYK1" s="110"/>
      <c r="LYL1" s="110"/>
      <c r="LYM1" s="110"/>
      <c r="LYN1" s="110"/>
      <c r="LYO1" s="110"/>
      <c r="LYP1" s="110"/>
      <c r="LYQ1" s="110"/>
      <c r="LYR1" s="110"/>
      <c r="LYS1" s="110"/>
      <c r="LYT1" s="110"/>
      <c r="LYU1" s="110"/>
      <c r="LYV1" s="110"/>
      <c r="LYW1" s="110"/>
      <c r="LYX1" s="110"/>
      <c r="LYY1" s="110"/>
      <c r="LYZ1" s="110"/>
      <c r="LZA1" s="110"/>
      <c r="LZB1" s="110"/>
      <c r="LZC1" s="110"/>
      <c r="LZD1" s="110"/>
      <c r="LZE1" s="110"/>
      <c r="LZF1" s="110"/>
      <c r="LZG1" s="110"/>
      <c r="LZH1" s="110"/>
      <c r="LZI1" s="110"/>
      <c r="LZJ1" s="110"/>
      <c r="LZK1" s="110"/>
      <c r="LZL1" s="110"/>
      <c r="LZM1" s="110"/>
      <c r="LZN1" s="110"/>
      <c r="LZO1" s="110"/>
      <c r="LZP1" s="110"/>
      <c r="LZQ1" s="110"/>
      <c r="LZR1" s="110"/>
      <c r="LZS1" s="110"/>
      <c r="LZT1" s="110"/>
      <c r="LZU1" s="110"/>
      <c r="LZV1" s="110"/>
      <c r="LZW1" s="110"/>
      <c r="LZX1" s="110"/>
      <c r="LZY1" s="110"/>
      <c r="LZZ1" s="110"/>
      <c r="MAA1" s="110"/>
      <c r="MAB1" s="110"/>
      <c r="MAC1" s="110"/>
      <c r="MAD1" s="110"/>
      <c r="MAE1" s="110"/>
      <c r="MAF1" s="110"/>
      <c r="MAG1" s="110"/>
      <c r="MAH1" s="110"/>
      <c r="MAI1" s="110"/>
      <c r="MAJ1" s="110"/>
      <c r="MAK1" s="110"/>
      <c r="MAL1" s="110"/>
      <c r="MAM1" s="110"/>
      <c r="MAN1" s="110"/>
      <c r="MAO1" s="110"/>
      <c r="MAP1" s="110"/>
      <c r="MAQ1" s="110"/>
      <c r="MAR1" s="110"/>
      <c r="MAS1" s="110"/>
      <c r="MAT1" s="110"/>
      <c r="MAU1" s="110"/>
      <c r="MAV1" s="110"/>
      <c r="MAW1" s="110"/>
      <c r="MAX1" s="110"/>
      <c r="MAY1" s="110"/>
      <c r="MAZ1" s="110"/>
      <c r="MBA1" s="110"/>
      <c r="MBB1" s="110"/>
      <c r="MBC1" s="110"/>
      <c r="MBD1" s="110"/>
      <c r="MBE1" s="110"/>
      <c r="MBF1" s="110"/>
      <c r="MBG1" s="110"/>
      <c r="MBH1" s="110"/>
      <c r="MBI1" s="110"/>
      <c r="MBJ1" s="110"/>
      <c r="MBK1" s="110"/>
      <c r="MBL1" s="110"/>
      <c r="MBM1" s="110"/>
      <c r="MBN1" s="110"/>
      <c r="MBO1" s="110"/>
      <c r="MBP1" s="110"/>
      <c r="MBQ1" s="110"/>
      <c r="MBR1" s="110"/>
      <c r="MBS1" s="110"/>
      <c r="MBT1" s="110"/>
      <c r="MBU1" s="110"/>
      <c r="MBV1" s="110"/>
      <c r="MBW1" s="110"/>
      <c r="MBX1" s="110"/>
      <c r="MBY1" s="110"/>
      <c r="MBZ1" s="110"/>
      <c r="MCA1" s="110"/>
      <c r="MCB1" s="110"/>
      <c r="MCC1" s="110"/>
      <c r="MCD1" s="110"/>
      <c r="MCE1" s="110"/>
      <c r="MCF1" s="110"/>
      <c r="MCG1" s="110"/>
      <c r="MCH1" s="110"/>
      <c r="MCI1" s="110"/>
      <c r="MCJ1" s="110"/>
      <c r="MCK1" s="110"/>
      <c r="MCL1" s="110"/>
      <c r="MCM1" s="110"/>
      <c r="MCN1" s="110"/>
      <c r="MCO1" s="110"/>
      <c r="MCP1" s="110"/>
      <c r="MCQ1" s="110"/>
      <c r="MCR1" s="110"/>
      <c r="MCS1" s="110"/>
      <c r="MCT1" s="110"/>
      <c r="MCU1" s="110"/>
      <c r="MCV1" s="110"/>
      <c r="MCW1" s="110"/>
      <c r="MCX1" s="110"/>
      <c r="MCY1" s="110"/>
      <c r="MCZ1" s="110"/>
      <c r="MDA1" s="110"/>
      <c r="MDB1" s="110"/>
      <c r="MDC1" s="110"/>
      <c r="MDD1" s="110"/>
      <c r="MDE1" s="110"/>
      <c r="MDF1" s="110"/>
      <c r="MDG1" s="110"/>
      <c r="MDH1" s="110"/>
      <c r="MDI1" s="110"/>
      <c r="MDJ1" s="110"/>
      <c r="MDK1" s="110"/>
      <c r="MDL1" s="110"/>
      <c r="MDM1" s="110"/>
      <c r="MDN1" s="110"/>
      <c r="MDO1" s="110"/>
      <c r="MDP1" s="110"/>
      <c r="MDQ1" s="110"/>
      <c r="MDR1" s="110"/>
      <c r="MDS1" s="110"/>
      <c r="MDT1" s="110"/>
      <c r="MDU1" s="110"/>
      <c r="MDV1" s="110"/>
      <c r="MDW1" s="110"/>
      <c r="MDX1" s="110"/>
      <c r="MDY1" s="110"/>
      <c r="MDZ1" s="110"/>
      <c r="MEA1" s="110"/>
      <c r="MEB1" s="110"/>
      <c r="MEC1" s="110"/>
      <c r="MED1" s="110"/>
      <c r="MEE1" s="110"/>
      <c r="MEF1" s="110"/>
      <c r="MEG1" s="110"/>
      <c r="MEH1" s="110"/>
      <c r="MEI1" s="110"/>
      <c r="MEJ1" s="110"/>
      <c r="MEK1" s="110"/>
      <c r="MEL1" s="110"/>
      <c r="MEM1" s="110"/>
      <c r="MEN1" s="110"/>
      <c r="MEO1" s="110"/>
      <c r="MEP1" s="110"/>
      <c r="MEQ1" s="110"/>
      <c r="MER1" s="110"/>
      <c r="MES1" s="110"/>
      <c r="MET1" s="110"/>
      <c r="MEU1" s="110"/>
      <c r="MEV1" s="110"/>
      <c r="MEW1" s="110"/>
      <c r="MEX1" s="110"/>
      <c r="MEY1" s="110"/>
      <c r="MEZ1" s="110"/>
      <c r="MFA1" s="110"/>
      <c r="MFB1" s="110"/>
      <c r="MFC1" s="110"/>
      <c r="MFD1" s="110"/>
      <c r="MFE1" s="110"/>
      <c r="MFF1" s="110"/>
      <c r="MFG1" s="110"/>
      <c r="MFH1" s="110"/>
      <c r="MFI1" s="110"/>
      <c r="MFJ1" s="110"/>
      <c r="MFK1" s="110"/>
      <c r="MFL1" s="110"/>
      <c r="MFM1" s="110"/>
      <c r="MFN1" s="110"/>
      <c r="MFO1" s="110"/>
      <c r="MFP1" s="110"/>
      <c r="MFQ1" s="110"/>
      <c r="MFR1" s="110"/>
      <c r="MFS1" s="110"/>
      <c r="MFT1" s="110"/>
      <c r="MFU1" s="110"/>
      <c r="MFV1" s="110"/>
      <c r="MFW1" s="110"/>
      <c r="MFX1" s="110"/>
      <c r="MFY1" s="110"/>
      <c r="MFZ1" s="110"/>
      <c r="MGA1" s="110"/>
      <c r="MGB1" s="110"/>
      <c r="MGC1" s="110"/>
      <c r="MGD1" s="110"/>
      <c r="MGE1" s="110"/>
      <c r="MGF1" s="110"/>
      <c r="MGG1" s="110"/>
      <c r="MGH1" s="110"/>
      <c r="MGI1" s="110"/>
      <c r="MGJ1" s="110"/>
      <c r="MGK1" s="110"/>
      <c r="MGL1" s="110"/>
      <c r="MGM1" s="110"/>
      <c r="MGN1" s="110"/>
      <c r="MGO1" s="110"/>
      <c r="MGP1" s="110"/>
      <c r="MGQ1" s="110"/>
      <c r="MGR1" s="110"/>
      <c r="MGS1" s="110"/>
      <c r="MGT1" s="110"/>
      <c r="MGU1" s="110"/>
      <c r="MGV1" s="110"/>
      <c r="MGW1" s="110"/>
      <c r="MGX1" s="110"/>
      <c r="MGY1" s="110"/>
      <c r="MGZ1" s="110"/>
      <c r="MHA1" s="110"/>
      <c r="MHB1" s="110"/>
      <c r="MHC1" s="110"/>
      <c r="MHD1" s="110"/>
      <c r="MHE1" s="110"/>
      <c r="MHF1" s="110"/>
      <c r="MHG1" s="110"/>
      <c r="MHH1" s="110"/>
      <c r="MHI1" s="110"/>
      <c r="MHJ1" s="110"/>
      <c r="MHK1" s="110"/>
      <c r="MHL1" s="110"/>
      <c r="MHM1" s="110"/>
      <c r="MHN1" s="110"/>
      <c r="MHO1" s="110"/>
      <c r="MHP1" s="110"/>
      <c r="MHQ1" s="110"/>
      <c r="MHR1" s="110"/>
      <c r="MHS1" s="110"/>
      <c r="MHT1" s="110"/>
      <c r="MHU1" s="110"/>
      <c r="MHV1" s="110"/>
      <c r="MHW1" s="110"/>
      <c r="MHX1" s="110"/>
      <c r="MHY1" s="110"/>
      <c r="MHZ1" s="110"/>
      <c r="MIA1" s="110"/>
      <c r="MIB1" s="110"/>
      <c r="MIC1" s="110"/>
      <c r="MID1" s="110"/>
      <c r="MIE1" s="110"/>
      <c r="MIF1" s="110"/>
      <c r="MIG1" s="110"/>
      <c r="MIH1" s="110"/>
      <c r="MII1" s="110"/>
      <c r="MIJ1" s="110"/>
      <c r="MIK1" s="110"/>
      <c r="MIL1" s="110"/>
      <c r="MIM1" s="110"/>
      <c r="MIN1" s="110"/>
      <c r="MIO1" s="110"/>
      <c r="MIP1" s="110"/>
      <c r="MIQ1" s="110"/>
      <c r="MIR1" s="110"/>
      <c r="MIS1" s="110"/>
      <c r="MIT1" s="110"/>
      <c r="MIU1" s="110"/>
      <c r="MIV1" s="110"/>
      <c r="MIW1" s="110"/>
      <c r="MIX1" s="110"/>
      <c r="MIY1" s="110"/>
      <c r="MIZ1" s="110"/>
      <c r="MJA1" s="110"/>
      <c r="MJB1" s="110"/>
      <c r="MJC1" s="110"/>
      <c r="MJD1" s="110"/>
      <c r="MJE1" s="110"/>
      <c r="MJF1" s="110"/>
      <c r="MJG1" s="110"/>
      <c r="MJH1" s="110"/>
      <c r="MJI1" s="110"/>
      <c r="MJJ1" s="110"/>
      <c r="MJK1" s="110"/>
      <c r="MJL1" s="110"/>
      <c r="MJM1" s="110"/>
      <c r="MJN1" s="110"/>
      <c r="MJO1" s="110"/>
      <c r="MJP1" s="110"/>
      <c r="MJQ1" s="110"/>
      <c r="MJR1" s="110"/>
      <c r="MJS1" s="110"/>
      <c r="MJT1" s="110"/>
      <c r="MJU1" s="110"/>
      <c r="MJV1" s="110"/>
      <c r="MJW1" s="110"/>
      <c r="MJX1" s="110"/>
      <c r="MJY1" s="110"/>
      <c r="MJZ1" s="110"/>
      <c r="MKA1" s="110"/>
      <c r="MKB1" s="110"/>
      <c r="MKC1" s="110"/>
      <c r="MKD1" s="110"/>
      <c r="MKE1" s="110"/>
      <c r="MKF1" s="110"/>
      <c r="MKG1" s="110"/>
      <c r="MKH1" s="110"/>
      <c r="MKI1" s="110"/>
      <c r="MKJ1" s="110"/>
      <c r="MKK1" s="110"/>
      <c r="MKL1" s="110"/>
      <c r="MKM1" s="110"/>
      <c r="MKN1" s="110"/>
      <c r="MKO1" s="110"/>
      <c r="MKP1" s="110"/>
      <c r="MKQ1" s="110"/>
      <c r="MKR1" s="110"/>
      <c r="MKS1" s="110"/>
      <c r="MKT1" s="110"/>
      <c r="MKU1" s="110"/>
      <c r="MKV1" s="110"/>
      <c r="MKW1" s="110"/>
      <c r="MKX1" s="110"/>
      <c r="MKY1" s="110"/>
      <c r="MKZ1" s="110"/>
      <c r="MLA1" s="110"/>
      <c r="MLB1" s="110"/>
      <c r="MLC1" s="110"/>
      <c r="MLD1" s="110"/>
      <c r="MLE1" s="110"/>
      <c r="MLF1" s="110"/>
      <c r="MLG1" s="110"/>
      <c r="MLH1" s="110"/>
      <c r="MLI1" s="110"/>
      <c r="MLJ1" s="110"/>
      <c r="MLK1" s="110"/>
      <c r="MLL1" s="110"/>
      <c r="MLM1" s="110"/>
      <c r="MLN1" s="110"/>
      <c r="MLO1" s="110"/>
      <c r="MLP1" s="110"/>
      <c r="MLQ1" s="110"/>
      <c r="MLR1" s="110"/>
      <c r="MLS1" s="110"/>
      <c r="MLT1" s="110"/>
      <c r="MLU1" s="110"/>
      <c r="MLV1" s="110"/>
      <c r="MLW1" s="110"/>
      <c r="MLX1" s="110"/>
      <c r="MLY1" s="110"/>
      <c r="MLZ1" s="110"/>
      <c r="MMA1" s="110"/>
      <c r="MMB1" s="110"/>
      <c r="MMC1" s="110"/>
      <c r="MMD1" s="110"/>
      <c r="MME1" s="110"/>
      <c r="MMF1" s="110"/>
      <c r="MMG1" s="110"/>
      <c r="MMH1" s="110"/>
      <c r="MMI1" s="110"/>
      <c r="MMJ1" s="110"/>
      <c r="MMK1" s="110"/>
      <c r="MML1" s="110"/>
      <c r="MMM1" s="110"/>
      <c r="MMN1" s="110"/>
      <c r="MMO1" s="110"/>
      <c r="MMP1" s="110"/>
      <c r="MMQ1" s="110"/>
      <c r="MMR1" s="110"/>
      <c r="MMS1" s="110"/>
      <c r="MMT1" s="110"/>
      <c r="MMU1" s="110"/>
      <c r="MMV1" s="110"/>
      <c r="MMW1" s="110"/>
      <c r="MMX1" s="110"/>
      <c r="MMY1" s="110"/>
      <c r="MMZ1" s="110"/>
      <c r="MNA1" s="110"/>
      <c r="MNB1" s="110"/>
      <c r="MNC1" s="110"/>
      <c r="MND1" s="110"/>
      <c r="MNE1" s="110"/>
      <c r="MNF1" s="110"/>
      <c r="MNG1" s="110"/>
      <c r="MNH1" s="110"/>
      <c r="MNI1" s="110"/>
      <c r="MNJ1" s="110"/>
      <c r="MNK1" s="110"/>
      <c r="MNL1" s="110"/>
      <c r="MNM1" s="110"/>
      <c r="MNN1" s="110"/>
      <c r="MNO1" s="110"/>
      <c r="MNP1" s="110"/>
      <c r="MNQ1" s="110"/>
      <c r="MNR1" s="110"/>
      <c r="MNS1" s="110"/>
      <c r="MNT1" s="110"/>
      <c r="MNU1" s="110"/>
      <c r="MNV1" s="110"/>
      <c r="MNW1" s="110"/>
      <c r="MNX1" s="110"/>
      <c r="MNY1" s="110"/>
      <c r="MNZ1" s="110"/>
      <c r="MOA1" s="110"/>
      <c r="MOB1" s="110"/>
      <c r="MOC1" s="110"/>
      <c r="MOD1" s="110"/>
      <c r="MOE1" s="110"/>
      <c r="MOF1" s="110"/>
      <c r="MOG1" s="110"/>
      <c r="MOH1" s="110"/>
      <c r="MOI1" s="110"/>
      <c r="MOJ1" s="110"/>
      <c r="MOK1" s="110"/>
      <c r="MOL1" s="110"/>
      <c r="MOM1" s="110"/>
      <c r="MON1" s="110"/>
      <c r="MOO1" s="110"/>
      <c r="MOP1" s="110"/>
      <c r="MOQ1" s="110"/>
      <c r="MOR1" s="110"/>
      <c r="MOS1" s="110"/>
      <c r="MOT1" s="110"/>
      <c r="MOU1" s="110"/>
      <c r="MOV1" s="110"/>
      <c r="MOW1" s="110"/>
      <c r="MOX1" s="110"/>
      <c r="MOY1" s="110"/>
      <c r="MOZ1" s="110"/>
      <c r="MPA1" s="110"/>
      <c r="MPB1" s="110"/>
      <c r="MPC1" s="110"/>
      <c r="MPD1" s="110"/>
      <c r="MPE1" s="110"/>
      <c r="MPF1" s="110"/>
      <c r="MPG1" s="110"/>
      <c r="MPH1" s="110"/>
      <c r="MPI1" s="110"/>
      <c r="MPJ1" s="110"/>
      <c r="MPK1" s="110"/>
      <c r="MPL1" s="110"/>
      <c r="MPM1" s="110"/>
      <c r="MPN1" s="110"/>
      <c r="MPO1" s="110"/>
      <c r="MPP1" s="110"/>
      <c r="MPQ1" s="110"/>
      <c r="MPR1" s="110"/>
      <c r="MPS1" s="110"/>
      <c r="MPT1" s="110"/>
      <c r="MPU1" s="110"/>
      <c r="MPV1" s="110"/>
      <c r="MPW1" s="110"/>
      <c r="MPX1" s="110"/>
      <c r="MPY1" s="110"/>
      <c r="MPZ1" s="110"/>
      <c r="MQA1" s="110"/>
      <c r="MQB1" s="110"/>
      <c r="MQC1" s="110"/>
      <c r="MQD1" s="110"/>
      <c r="MQE1" s="110"/>
      <c r="MQF1" s="110"/>
      <c r="MQG1" s="110"/>
      <c r="MQH1" s="110"/>
      <c r="MQI1" s="110"/>
      <c r="MQJ1" s="110"/>
      <c r="MQK1" s="110"/>
      <c r="MQL1" s="110"/>
      <c r="MQM1" s="110"/>
      <c r="MQN1" s="110"/>
      <c r="MQO1" s="110"/>
      <c r="MQP1" s="110"/>
      <c r="MQQ1" s="110"/>
      <c r="MQR1" s="110"/>
      <c r="MQS1" s="110"/>
      <c r="MQT1" s="110"/>
      <c r="MQU1" s="110"/>
      <c r="MQV1" s="110"/>
      <c r="MQW1" s="110"/>
      <c r="MQX1" s="110"/>
      <c r="MQY1" s="110"/>
      <c r="MQZ1" s="110"/>
      <c r="MRA1" s="110"/>
      <c r="MRB1" s="110"/>
      <c r="MRC1" s="110"/>
      <c r="MRD1" s="110"/>
      <c r="MRE1" s="110"/>
      <c r="MRF1" s="110"/>
      <c r="MRG1" s="110"/>
      <c r="MRH1" s="110"/>
      <c r="MRI1" s="110"/>
      <c r="MRJ1" s="110"/>
      <c r="MRK1" s="110"/>
      <c r="MRL1" s="110"/>
      <c r="MRM1" s="110"/>
      <c r="MRN1" s="110"/>
      <c r="MRO1" s="110"/>
      <c r="MRP1" s="110"/>
      <c r="MRQ1" s="110"/>
      <c r="MRR1" s="110"/>
      <c r="MRS1" s="110"/>
      <c r="MRT1" s="110"/>
      <c r="MRU1" s="110"/>
      <c r="MRV1" s="110"/>
      <c r="MRW1" s="110"/>
      <c r="MRX1" s="110"/>
      <c r="MRY1" s="110"/>
      <c r="MRZ1" s="110"/>
      <c r="MSA1" s="110"/>
      <c r="MSB1" s="110"/>
      <c r="MSC1" s="110"/>
      <c r="MSD1" s="110"/>
      <c r="MSE1" s="110"/>
      <c r="MSF1" s="110"/>
      <c r="MSG1" s="110"/>
      <c r="MSH1" s="110"/>
      <c r="MSI1" s="110"/>
      <c r="MSJ1" s="110"/>
      <c r="MSK1" s="110"/>
      <c r="MSL1" s="110"/>
      <c r="MSM1" s="110"/>
      <c r="MSN1" s="110"/>
      <c r="MSO1" s="110"/>
      <c r="MSP1" s="110"/>
      <c r="MSQ1" s="110"/>
      <c r="MSR1" s="110"/>
      <c r="MSS1" s="110"/>
      <c r="MST1" s="110"/>
      <c r="MSU1" s="110"/>
      <c r="MSV1" s="110"/>
      <c r="MSW1" s="110"/>
      <c r="MSX1" s="110"/>
      <c r="MSY1" s="110"/>
      <c r="MSZ1" s="110"/>
      <c r="MTA1" s="110"/>
      <c r="MTB1" s="110"/>
      <c r="MTC1" s="110"/>
      <c r="MTD1" s="110"/>
      <c r="MTE1" s="110"/>
      <c r="MTF1" s="110"/>
      <c r="MTG1" s="110"/>
      <c r="MTH1" s="110"/>
      <c r="MTI1" s="110"/>
      <c r="MTJ1" s="110"/>
      <c r="MTK1" s="110"/>
      <c r="MTL1" s="110"/>
      <c r="MTM1" s="110"/>
      <c r="MTN1" s="110"/>
      <c r="MTO1" s="110"/>
      <c r="MTP1" s="110"/>
      <c r="MTQ1" s="110"/>
      <c r="MTR1" s="110"/>
      <c r="MTS1" s="110"/>
      <c r="MTT1" s="110"/>
      <c r="MTU1" s="110"/>
      <c r="MTV1" s="110"/>
      <c r="MTW1" s="110"/>
      <c r="MTX1" s="110"/>
      <c r="MTY1" s="110"/>
      <c r="MTZ1" s="110"/>
      <c r="MUA1" s="110"/>
      <c r="MUB1" s="110"/>
      <c r="MUC1" s="110"/>
      <c r="MUD1" s="110"/>
      <c r="MUE1" s="110"/>
      <c r="MUF1" s="110"/>
      <c r="MUG1" s="110"/>
      <c r="MUH1" s="110"/>
      <c r="MUI1" s="110"/>
      <c r="MUJ1" s="110"/>
      <c r="MUK1" s="110"/>
      <c r="MUL1" s="110"/>
      <c r="MUM1" s="110"/>
      <c r="MUN1" s="110"/>
      <c r="MUO1" s="110"/>
      <c r="MUP1" s="110"/>
      <c r="MUQ1" s="110"/>
      <c r="MUR1" s="110"/>
      <c r="MUS1" s="110"/>
      <c r="MUT1" s="110"/>
      <c r="MUU1" s="110"/>
      <c r="MUV1" s="110"/>
      <c r="MUW1" s="110"/>
      <c r="MUX1" s="110"/>
      <c r="MUY1" s="110"/>
      <c r="MUZ1" s="110"/>
      <c r="MVA1" s="110"/>
      <c r="MVB1" s="110"/>
      <c r="MVC1" s="110"/>
      <c r="MVD1" s="110"/>
      <c r="MVE1" s="110"/>
      <c r="MVF1" s="110"/>
      <c r="MVG1" s="110"/>
      <c r="MVH1" s="110"/>
      <c r="MVI1" s="110"/>
      <c r="MVJ1" s="110"/>
      <c r="MVK1" s="110"/>
      <c r="MVL1" s="110"/>
      <c r="MVM1" s="110"/>
      <c r="MVN1" s="110"/>
      <c r="MVO1" s="110"/>
      <c r="MVP1" s="110"/>
      <c r="MVQ1" s="110"/>
      <c r="MVR1" s="110"/>
      <c r="MVS1" s="110"/>
      <c r="MVT1" s="110"/>
      <c r="MVU1" s="110"/>
      <c r="MVV1" s="110"/>
      <c r="MVW1" s="110"/>
      <c r="MVX1" s="110"/>
      <c r="MVY1" s="110"/>
      <c r="MVZ1" s="110"/>
      <c r="MWA1" s="110"/>
      <c r="MWB1" s="110"/>
      <c r="MWC1" s="110"/>
      <c r="MWD1" s="110"/>
      <c r="MWE1" s="110"/>
      <c r="MWF1" s="110"/>
      <c r="MWG1" s="110"/>
      <c r="MWH1" s="110"/>
      <c r="MWI1" s="110"/>
      <c r="MWJ1" s="110"/>
      <c r="MWK1" s="110"/>
      <c r="MWL1" s="110"/>
      <c r="MWM1" s="110"/>
      <c r="MWN1" s="110"/>
      <c r="MWO1" s="110"/>
      <c r="MWP1" s="110"/>
      <c r="MWQ1" s="110"/>
      <c r="MWR1" s="110"/>
      <c r="MWS1" s="110"/>
      <c r="MWT1" s="110"/>
      <c r="MWU1" s="110"/>
      <c r="MWV1" s="110"/>
      <c r="MWW1" s="110"/>
      <c r="MWX1" s="110"/>
      <c r="MWY1" s="110"/>
      <c r="MWZ1" s="110"/>
      <c r="MXA1" s="110"/>
      <c r="MXB1" s="110"/>
      <c r="MXC1" s="110"/>
      <c r="MXD1" s="110"/>
      <c r="MXE1" s="110"/>
      <c r="MXF1" s="110"/>
      <c r="MXG1" s="110"/>
      <c r="MXH1" s="110"/>
      <c r="MXI1" s="110"/>
      <c r="MXJ1" s="110"/>
      <c r="MXK1" s="110"/>
      <c r="MXL1" s="110"/>
      <c r="MXM1" s="110"/>
      <c r="MXN1" s="110"/>
      <c r="MXO1" s="110"/>
      <c r="MXP1" s="110"/>
      <c r="MXQ1" s="110"/>
      <c r="MXR1" s="110"/>
      <c r="MXS1" s="110"/>
      <c r="MXT1" s="110"/>
      <c r="MXU1" s="110"/>
      <c r="MXV1" s="110"/>
      <c r="MXW1" s="110"/>
      <c r="MXX1" s="110"/>
      <c r="MXY1" s="110"/>
      <c r="MXZ1" s="110"/>
      <c r="MYA1" s="110"/>
      <c r="MYB1" s="110"/>
      <c r="MYC1" s="110"/>
      <c r="MYD1" s="110"/>
      <c r="MYE1" s="110"/>
      <c r="MYF1" s="110"/>
      <c r="MYG1" s="110"/>
      <c r="MYH1" s="110"/>
      <c r="MYI1" s="110"/>
      <c r="MYJ1" s="110"/>
      <c r="MYK1" s="110"/>
      <c r="MYL1" s="110"/>
      <c r="MYM1" s="110"/>
      <c r="MYN1" s="110"/>
      <c r="MYO1" s="110"/>
      <c r="MYP1" s="110"/>
      <c r="MYQ1" s="110"/>
      <c r="MYR1" s="110"/>
      <c r="MYS1" s="110"/>
      <c r="MYT1" s="110"/>
      <c r="MYU1" s="110"/>
      <c r="MYV1" s="110"/>
      <c r="MYW1" s="110"/>
      <c r="MYX1" s="110"/>
      <c r="MYY1" s="110"/>
      <c r="MYZ1" s="110"/>
      <c r="MZA1" s="110"/>
      <c r="MZB1" s="110"/>
      <c r="MZC1" s="110"/>
      <c r="MZD1" s="110"/>
      <c r="MZE1" s="110"/>
      <c r="MZF1" s="110"/>
      <c r="MZG1" s="110"/>
      <c r="MZH1" s="110"/>
      <c r="MZI1" s="110"/>
      <c r="MZJ1" s="110"/>
      <c r="MZK1" s="110"/>
      <c r="MZL1" s="110"/>
      <c r="MZM1" s="110"/>
      <c r="MZN1" s="110"/>
      <c r="MZO1" s="110"/>
      <c r="MZP1" s="110"/>
      <c r="MZQ1" s="110"/>
      <c r="MZR1" s="110"/>
      <c r="MZS1" s="110"/>
      <c r="MZT1" s="110"/>
      <c r="MZU1" s="110"/>
      <c r="MZV1" s="110"/>
      <c r="MZW1" s="110"/>
      <c r="MZX1" s="110"/>
      <c r="MZY1" s="110"/>
      <c r="MZZ1" s="110"/>
      <c r="NAA1" s="110"/>
      <c r="NAB1" s="110"/>
      <c r="NAC1" s="110"/>
      <c r="NAD1" s="110"/>
      <c r="NAE1" s="110"/>
      <c r="NAF1" s="110"/>
      <c r="NAG1" s="110"/>
      <c r="NAH1" s="110"/>
      <c r="NAI1" s="110"/>
      <c r="NAJ1" s="110"/>
      <c r="NAK1" s="110"/>
      <c r="NAL1" s="110"/>
      <c r="NAM1" s="110"/>
      <c r="NAN1" s="110"/>
      <c r="NAO1" s="110"/>
      <c r="NAP1" s="110"/>
      <c r="NAQ1" s="110"/>
      <c r="NAR1" s="110"/>
      <c r="NAS1" s="110"/>
      <c r="NAT1" s="110"/>
      <c r="NAU1" s="110"/>
      <c r="NAV1" s="110"/>
      <c r="NAW1" s="110"/>
      <c r="NAX1" s="110"/>
      <c r="NAY1" s="110"/>
      <c r="NAZ1" s="110"/>
      <c r="NBA1" s="110"/>
      <c r="NBB1" s="110"/>
      <c r="NBC1" s="110"/>
      <c r="NBD1" s="110"/>
      <c r="NBE1" s="110"/>
      <c r="NBF1" s="110"/>
      <c r="NBG1" s="110"/>
      <c r="NBH1" s="110"/>
      <c r="NBI1" s="110"/>
      <c r="NBJ1" s="110"/>
      <c r="NBK1" s="110"/>
      <c r="NBL1" s="110"/>
      <c r="NBM1" s="110"/>
      <c r="NBN1" s="110"/>
      <c r="NBO1" s="110"/>
      <c r="NBP1" s="110"/>
      <c r="NBQ1" s="110"/>
      <c r="NBR1" s="110"/>
      <c r="NBS1" s="110"/>
      <c r="NBT1" s="110"/>
      <c r="NBU1" s="110"/>
      <c r="NBV1" s="110"/>
      <c r="NBW1" s="110"/>
      <c r="NBX1" s="110"/>
      <c r="NBY1" s="110"/>
      <c r="NBZ1" s="110"/>
      <c r="NCA1" s="110"/>
      <c r="NCB1" s="110"/>
      <c r="NCC1" s="110"/>
      <c r="NCD1" s="110"/>
      <c r="NCE1" s="110"/>
      <c r="NCF1" s="110"/>
      <c r="NCG1" s="110"/>
      <c r="NCH1" s="110"/>
      <c r="NCI1" s="110"/>
      <c r="NCJ1" s="110"/>
      <c r="NCK1" s="110"/>
      <c r="NCL1" s="110"/>
      <c r="NCM1" s="110"/>
      <c r="NCN1" s="110"/>
      <c r="NCO1" s="110"/>
      <c r="NCP1" s="110"/>
      <c r="NCQ1" s="110"/>
      <c r="NCR1" s="110"/>
      <c r="NCS1" s="110"/>
      <c r="NCT1" s="110"/>
      <c r="NCU1" s="110"/>
      <c r="NCV1" s="110"/>
      <c r="NCW1" s="110"/>
      <c r="NCX1" s="110"/>
      <c r="NCY1" s="110"/>
      <c r="NCZ1" s="110"/>
      <c r="NDA1" s="110"/>
      <c r="NDB1" s="110"/>
      <c r="NDC1" s="110"/>
      <c r="NDD1" s="110"/>
      <c r="NDE1" s="110"/>
      <c r="NDF1" s="110"/>
      <c r="NDG1" s="110"/>
      <c r="NDH1" s="110"/>
      <c r="NDI1" s="110"/>
      <c r="NDJ1" s="110"/>
      <c r="NDK1" s="110"/>
      <c r="NDL1" s="110"/>
      <c r="NDM1" s="110"/>
      <c r="NDN1" s="110"/>
      <c r="NDO1" s="110"/>
      <c r="NDP1" s="110"/>
      <c r="NDQ1" s="110"/>
      <c r="NDR1" s="110"/>
      <c r="NDS1" s="110"/>
      <c r="NDT1" s="110"/>
      <c r="NDU1" s="110"/>
      <c r="NDV1" s="110"/>
      <c r="NDW1" s="110"/>
      <c r="NDX1" s="110"/>
      <c r="NDY1" s="110"/>
      <c r="NDZ1" s="110"/>
      <c r="NEA1" s="110"/>
      <c r="NEB1" s="110"/>
      <c r="NEC1" s="110"/>
      <c r="NED1" s="110"/>
      <c r="NEE1" s="110"/>
      <c r="NEF1" s="110"/>
      <c r="NEG1" s="110"/>
      <c r="NEH1" s="110"/>
      <c r="NEI1" s="110"/>
      <c r="NEJ1" s="110"/>
      <c r="NEK1" s="110"/>
      <c r="NEL1" s="110"/>
      <c r="NEM1" s="110"/>
      <c r="NEN1" s="110"/>
      <c r="NEO1" s="110"/>
      <c r="NEP1" s="110"/>
      <c r="NEQ1" s="110"/>
      <c r="NER1" s="110"/>
      <c r="NES1" s="110"/>
      <c r="NET1" s="110"/>
      <c r="NEU1" s="110"/>
      <c r="NEV1" s="110"/>
      <c r="NEW1" s="110"/>
      <c r="NEX1" s="110"/>
      <c r="NEY1" s="110"/>
      <c r="NEZ1" s="110"/>
      <c r="NFA1" s="110"/>
      <c r="NFB1" s="110"/>
      <c r="NFC1" s="110"/>
      <c r="NFD1" s="110"/>
      <c r="NFE1" s="110"/>
      <c r="NFF1" s="110"/>
      <c r="NFG1" s="110"/>
      <c r="NFH1" s="110"/>
      <c r="NFI1" s="110"/>
      <c r="NFJ1" s="110"/>
      <c r="NFK1" s="110"/>
      <c r="NFL1" s="110"/>
      <c r="NFM1" s="110"/>
      <c r="NFN1" s="110"/>
      <c r="NFO1" s="110"/>
      <c r="NFP1" s="110"/>
      <c r="NFQ1" s="110"/>
      <c r="NFR1" s="110"/>
      <c r="NFS1" s="110"/>
      <c r="NFT1" s="110"/>
      <c r="NFU1" s="110"/>
      <c r="NFV1" s="110"/>
      <c r="NFW1" s="110"/>
      <c r="NFX1" s="110"/>
      <c r="NFY1" s="110"/>
      <c r="NFZ1" s="110"/>
      <c r="NGA1" s="110"/>
      <c r="NGB1" s="110"/>
      <c r="NGC1" s="110"/>
      <c r="NGD1" s="110"/>
      <c r="NGE1" s="110"/>
      <c r="NGF1" s="110"/>
      <c r="NGG1" s="110"/>
      <c r="NGH1" s="110"/>
      <c r="NGI1" s="110"/>
      <c r="NGJ1" s="110"/>
      <c r="NGK1" s="110"/>
      <c r="NGL1" s="110"/>
      <c r="NGM1" s="110"/>
      <c r="NGN1" s="110"/>
      <c r="NGO1" s="110"/>
      <c r="NGP1" s="110"/>
      <c r="NGQ1" s="110"/>
      <c r="NGR1" s="110"/>
      <c r="NGS1" s="110"/>
      <c r="NGT1" s="110"/>
      <c r="NGU1" s="110"/>
      <c r="NGV1" s="110"/>
      <c r="NGW1" s="110"/>
      <c r="NGX1" s="110"/>
      <c r="NGY1" s="110"/>
      <c r="NGZ1" s="110"/>
      <c r="NHA1" s="110"/>
      <c r="NHB1" s="110"/>
      <c r="NHC1" s="110"/>
      <c r="NHD1" s="110"/>
      <c r="NHE1" s="110"/>
      <c r="NHF1" s="110"/>
      <c r="NHG1" s="110"/>
      <c r="NHH1" s="110"/>
      <c r="NHI1" s="110"/>
      <c r="NHJ1" s="110"/>
      <c r="NHK1" s="110"/>
      <c r="NHL1" s="110"/>
      <c r="NHM1" s="110"/>
      <c r="NHN1" s="110"/>
      <c r="NHO1" s="110"/>
      <c r="NHP1" s="110"/>
      <c r="NHQ1" s="110"/>
      <c r="NHR1" s="110"/>
      <c r="NHS1" s="110"/>
      <c r="NHT1" s="110"/>
      <c r="NHU1" s="110"/>
      <c r="NHV1" s="110"/>
      <c r="NHW1" s="110"/>
      <c r="NHX1" s="110"/>
      <c r="NHY1" s="110"/>
      <c r="NHZ1" s="110"/>
      <c r="NIA1" s="110"/>
      <c r="NIB1" s="110"/>
      <c r="NIC1" s="110"/>
      <c r="NID1" s="110"/>
      <c r="NIE1" s="110"/>
      <c r="NIF1" s="110"/>
      <c r="NIG1" s="110"/>
      <c r="NIH1" s="110"/>
      <c r="NII1" s="110"/>
      <c r="NIJ1" s="110"/>
      <c r="NIK1" s="110"/>
      <c r="NIL1" s="110"/>
      <c r="NIM1" s="110"/>
      <c r="NIN1" s="110"/>
      <c r="NIO1" s="110"/>
      <c r="NIP1" s="110"/>
      <c r="NIQ1" s="110"/>
      <c r="NIR1" s="110"/>
      <c r="NIS1" s="110"/>
      <c r="NIT1" s="110"/>
      <c r="NIU1" s="110"/>
      <c r="NIV1" s="110"/>
      <c r="NIW1" s="110"/>
      <c r="NIX1" s="110"/>
      <c r="NIY1" s="110"/>
      <c r="NIZ1" s="110"/>
      <c r="NJA1" s="110"/>
      <c r="NJB1" s="110"/>
      <c r="NJC1" s="110"/>
      <c r="NJD1" s="110"/>
      <c r="NJE1" s="110"/>
      <c r="NJF1" s="110"/>
      <c r="NJG1" s="110"/>
      <c r="NJH1" s="110"/>
      <c r="NJI1" s="110"/>
      <c r="NJJ1" s="110"/>
      <c r="NJK1" s="110"/>
      <c r="NJL1" s="110"/>
      <c r="NJM1" s="110"/>
      <c r="NJN1" s="110"/>
      <c r="NJO1" s="110"/>
      <c r="NJP1" s="110"/>
      <c r="NJQ1" s="110"/>
      <c r="NJR1" s="110"/>
      <c r="NJS1" s="110"/>
      <c r="NJT1" s="110"/>
      <c r="NJU1" s="110"/>
      <c r="NJV1" s="110"/>
      <c r="NJW1" s="110"/>
      <c r="NJX1" s="110"/>
      <c r="NJY1" s="110"/>
      <c r="NJZ1" s="110"/>
      <c r="NKA1" s="110"/>
      <c r="NKB1" s="110"/>
      <c r="NKC1" s="110"/>
      <c r="NKD1" s="110"/>
      <c r="NKE1" s="110"/>
      <c r="NKF1" s="110"/>
      <c r="NKG1" s="110"/>
      <c r="NKH1" s="110"/>
      <c r="NKI1" s="110"/>
      <c r="NKJ1" s="110"/>
      <c r="NKK1" s="110"/>
      <c r="NKL1" s="110"/>
      <c r="NKM1" s="110"/>
      <c r="NKN1" s="110"/>
      <c r="NKO1" s="110"/>
      <c r="NKP1" s="110"/>
      <c r="NKQ1" s="110"/>
      <c r="NKR1" s="110"/>
      <c r="NKS1" s="110"/>
      <c r="NKT1" s="110"/>
      <c r="NKU1" s="110"/>
      <c r="NKV1" s="110"/>
      <c r="NKW1" s="110"/>
      <c r="NKX1" s="110"/>
      <c r="NKY1" s="110"/>
      <c r="NKZ1" s="110"/>
      <c r="NLA1" s="110"/>
      <c r="NLB1" s="110"/>
      <c r="NLC1" s="110"/>
      <c r="NLD1" s="110"/>
      <c r="NLE1" s="110"/>
      <c r="NLF1" s="110"/>
      <c r="NLG1" s="110"/>
      <c r="NLH1" s="110"/>
      <c r="NLI1" s="110"/>
      <c r="NLJ1" s="110"/>
      <c r="NLK1" s="110"/>
      <c r="NLL1" s="110"/>
      <c r="NLM1" s="110"/>
      <c r="NLN1" s="110"/>
      <c r="NLO1" s="110"/>
      <c r="NLP1" s="110"/>
      <c r="NLQ1" s="110"/>
      <c r="NLR1" s="110"/>
      <c r="NLS1" s="110"/>
      <c r="NLT1" s="110"/>
      <c r="NLU1" s="110"/>
      <c r="NLV1" s="110"/>
      <c r="NLW1" s="110"/>
      <c r="NLX1" s="110"/>
      <c r="NLY1" s="110"/>
      <c r="NLZ1" s="110"/>
      <c r="NMA1" s="110"/>
      <c r="NMB1" s="110"/>
      <c r="NMC1" s="110"/>
      <c r="NMD1" s="110"/>
      <c r="NME1" s="110"/>
      <c r="NMF1" s="110"/>
      <c r="NMG1" s="110"/>
      <c r="NMH1" s="110"/>
      <c r="NMI1" s="110"/>
      <c r="NMJ1" s="110"/>
      <c r="NMK1" s="110"/>
      <c r="NML1" s="110"/>
      <c r="NMM1" s="110"/>
      <c r="NMN1" s="110"/>
      <c r="NMO1" s="110"/>
      <c r="NMP1" s="110"/>
      <c r="NMQ1" s="110"/>
      <c r="NMR1" s="110"/>
      <c r="NMS1" s="110"/>
      <c r="NMT1" s="110"/>
      <c r="NMU1" s="110"/>
      <c r="NMV1" s="110"/>
      <c r="NMW1" s="110"/>
      <c r="NMX1" s="110"/>
      <c r="NMY1" s="110"/>
      <c r="NMZ1" s="110"/>
      <c r="NNA1" s="110"/>
      <c r="NNB1" s="110"/>
      <c r="NNC1" s="110"/>
      <c r="NND1" s="110"/>
      <c r="NNE1" s="110"/>
      <c r="NNF1" s="110"/>
      <c r="NNG1" s="110"/>
      <c r="NNH1" s="110"/>
      <c r="NNI1" s="110"/>
      <c r="NNJ1" s="110"/>
      <c r="NNK1" s="110"/>
      <c r="NNL1" s="110"/>
      <c r="NNM1" s="110"/>
      <c r="NNN1" s="110"/>
      <c r="NNO1" s="110"/>
      <c r="NNP1" s="110"/>
      <c r="NNQ1" s="110"/>
      <c r="NNR1" s="110"/>
      <c r="NNS1" s="110"/>
      <c r="NNT1" s="110"/>
      <c r="NNU1" s="110"/>
      <c r="NNV1" s="110"/>
      <c r="NNW1" s="110"/>
      <c r="NNX1" s="110"/>
      <c r="NNY1" s="110"/>
      <c r="NNZ1" s="110"/>
      <c r="NOA1" s="110"/>
      <c r="NOB1" s="110"/>
      <c r="NOC1" s="110"/>
      <c r="NOD1" s="110"/>
      <c r="NOE1" s="110"/>
      <c r="NOF1" s="110"/>
      <c r="NOG1" s="110"/>
      <c r="NOH1" s="110"/>
      <c r="NOI1" s="110"/>
      <c r="NOJ1" s="110"/>
      <c r="NOK1" s="110"/>
      <c r="NOL1" s="110"/>
      <c r="NOM1" s="110"/>
      <c r="NON1" s="110"/>
      <c r="NOO1" s="110"/>
      <c r="NOP1" s="110"/>
      <c r="NOQ1" s="110"/>
      <c r="NOR1" s="110"/>
      <c r="NOS1" s="110"/>
      <c r="NOT1" s="110"/>
      <c r="NOU1" s="110"/>
      <c r="NOV1" s="110"/>
      <c r="NOW1" s="110"/>
      <c r="NOX1" s="110"/>
      <c r="NOY1" s="110"/>
      <c r="NOZ1" s="110"/>
      <c r="NPA1" s="110"/>
      <c r="NPB1" s="110"/>
      <c r="NPC1" s="110"/>
      <c r="NPD1" s="110"/>
      <c r="NPE1" s="110"/>
      <c r="NPF1" s="110"/>
      <c r="NPG1" s="110"/>
      <c r="NPH1" s="110"/>
      <c r="NPI1" s="110"/>
      <c r="NPJ1" s="110"/>
      <c r="NPK1" s="110"/>
      <c r="NPL1" s="110"/>
      <c r="NPM1" s="110"/>
      <c r="NPN1" s="110"/>
      <c r="NPO1" s="110"/>
      <c r="NPP1" s="110"/>
      <c r="NPQ1" s="110"/>
      <c r="NPR1" s="110"/>
      <c r="NPS1" s="110"/>
      <c r="NPT1" s="110"/>
      <c r="NPU1" s="110"/>
      <c r="NPV1" s="110"/>
      <c r="NPW1" s="110"/>
      <c r="NPX1" s="110"/>
      <c r="NPY1" s="110"/>
      <c r="NPZ1" s="110"/>
      <c r="NQA1" s="110"/>
      <c r="NQB1" s="110"/>
      <c r="NQC1" s="110"/>
      <c r="NQD1" s="110"/>
      <c r="NQE1" s="110"/>
      <c r="NQF1" s="110"/>
      <c r="NQG1" s="110"/>
      <c r="NQH1" s="110"/>
      <c r="NQI1" s="110"/>
      <c r="NQJ1" s="110"/>
      <c r="NQK1" s="110"/>
      <c r="NQL1" s="110"/>
      <c r="NQM1" s="110"/>
      <c r="NQN1" s="110"/>
      <c r="NQO1" s="110"/>
      <c r="NQP1" s="110"/>
      <c r="NQQ1" s="110"/>
      <c r="NQR1" s="110"/>
      <c r="NQS1" s="110"/>
      <c r="NQT1" s="110"/>
      <c r="NQU1" s="110"/>
      <c r="NQV1" s="110"/>
      <c r="NQW1" s="110"/>
      <c r="NQX1" s="110"/>
      <c r="NQY1" s="110"/>
      <c r="NQZ1" s="110"/>
      <c r="NRA1" s="110"/>
      <c r="NRB1" s="110"/>
      <c r="NRC1" s="110"/>
      <c r="NRD1" s="110"/>
      <c r="NRE1" s="110"/>
      <c r="NRF1" s="110"/>
      <c r="NRG1" s="110"/>
      <c r="NRH1" s="110"/>
      <c r="NRI1" s="110"/>
      <c r="NRJ1" s="110"/>
      <c r="NRK1" s="110"/>
      <c r="NRL1" s="110"/>
      <c r="NRM1" s="110"/>
      <c r="NRN1" s="110"/>
      <c r="NRO1" s="110"/>
      <c r="NRP1" s="110"/>
      <c r="NRQ1" s="110"/>
      <c r="NRR1" s="110"/>
      <c r="NRS1" s="110"/>
      <c r="NRT1" s="110"/>
      <c r="NRU1" s="110"/>
      <c r="NRV1" s="110"/>
      <c r="NRW1" s="110"/>
      <c r="NRX1" s="110"/>
      <c r="NRY1" s="110"/>
      <c r="NRZ1" s="110"/>
      <c r="NSA1" s="110"/>
      <c r="NSB1" s="110"/>
      <c r="NSC1" s="110"/>
      <c r="NSD1" s="110"/>
      <c r="NSE1" s="110"/>
      <c r="NSF1" s="110"/>
      <c r="NSG1" s="110"/>
      <c r="NSH1" s="110"/>
      <c r="NSI1" s="110"/>
      <c r="NSJ1" s="110"/>
      <c r="NSK1" s="110"/>
      <c r="NSL1" s="110"/>
      <c r="NSM1" s="110"/>
      <c r="NSN1" s="110"/>
      <c r="NSO1" s="110"/>
      <c r="NSP1" s="110"/>
      <c r="NSQ1" s="110"/>
      <c r="NSR1" s="110"/>
      <c r="NSS1" s="110"/>
      <c r="NST1" s="110"/>
      <c r="NSU1" s="110"/>
      <c r="NSV1" s="110"/>
      <c r="NSW1" s="110"/>
      <c r="NSX1" s="110"/>
      <c r="NSY1" s="110"/>
      <c r="NSZ1" s="110"/>
      <c r="NTA1" s="110"/>
      <c r="NTB1" s="110"/>
      <c r="NTC1" s="110"/>
      <c r="NTD1" s="110"/>
      <c r="NTE1" s="110"/>
      <c r="NTF1" s="110"/>
      <c r="NTG1" s="110"/>
      <c r="NTH1" s="110"/>
      <c r="NTI1" s="110"/>
      <c r="NTJ1" s="110"/>
      <c r="NTK1" s="110"/>
      <c r="NTL1" s="110"/>
      <c r="NTM1" s="110"/>
      <c r="NTN1" s="110"/>
      <c r="NTO1" s="110"/>
      <c r="NTP1" s="110"/>
      <c r="NTQ1" s="110"/>
      <c r="NTR1" s="110"/>
      <c r="NTS1" s="110"/>
      <c r="NTT1" s="110"/>
      <c r="NTU1" s="110"/>
      <c r="NTV1" s="110"/>
      <c r="NTW1" s="110"/>
      <c r="NTX1" s="110"/>
      <c r="NTY1" s="110"/>
      <c r="NTZ1" s="110"/>
      <c r="NUA1" s="110"/>
      <c r="NUB1" s="110"/>
      <c r="NUC1" s="110"/>
      <c r="NUD1" s="110"/>
      <c r="NUE1" s="110"/>
      <c r="NUF1" s="110"/>
      <c r="NUG1" s="110"/>
      <c r="NUH1" s="110"/>
      <c r="NUI1" s="110"/>
      <c r="NUJ1" s="110"/>
      <c r="NUK1" s="110"/>
      <c r="NUL1" s="110"/>
      <c r="NUM1" s="110"/>
      <c r="NUN1" s="110"/>
      <c r="NUO1" s="110"/>
      <c r="NUP1" s="110"/>
      <c r="NUQ1" s="110"/>
      <c r="NUR1" s="110"/>
      <c r="NUS1" s="110"/>
      <c r="NUT1" s="110"/>
      <c r="NUU1" s="110"/>
      <c r="NUV1" s="110"/>
      <c r="NUW1" s="110"/>
      <c r="NUX1" s="110"/>
      <c r="NUY1" s="110"/>
      <c r="NUZ1" s="110"/>
      <c r="NVA1" s="110"/>
      <c r="NVB1" s="110"/>
      <c r="NVC1" s="110"/>
      <c r="NVD1" s="110"/>
      <c r="NVE1" s="110"/>
      <c r="NVF1" s="110"/>
      <c r="NVG1" s="110"/>
      <c r="NVH1" s="110"/>
      <c r="NVI1" s="110"/>
      <c r="NVJ1" s="110"/>
      <c r="NVK1" s="110"/>
      <c r="NVL1" s="110"/>
      <c r="NVM1" s="110"/>
      <c r="NVN1" s="110"/>
      <c r="NVO1" s="110"/>
      <c r="NVP1" s="110"/>
      <c r="NVQ1" s="110"/>
      <c r="NVR1" s="110"/>
      <c r="NVS1" s="110"/>
      <c r="NVT1" s="110"/>
      <c r="NVU1" s="110"/>
      <c r="NVV1" s="110"/>
      <c r="NVW1" s="110"/>
      <c r="NVX1" s="110"/>
      <c r="NVY1" s="110"/>
      <c r="NVZ1" s="110"/>
      <c r="NWA1" s="110"/>
      <c r="NWB1" s="110"/>
      <c r="NWC1" s="110"/>
      <c r="NWD1" s="110"/>
      <c r="NWE1" s="110"/>
      <c r="NWF1" s="110"/>
      <c r="NWG1" s="110"/>
      <c r="NWH1" s="110"/>
      <c r="NWI1" s="110"/>
      <c r="NWJ1" s="110"/>
      <c r="NWK1" s="110"/>
      <c r="NWL1" s="110"/>
      <c r="NWM1" s="110"/>
      <c r="NWN1" s="110"/>
      <c r="NWO1" s="110"/>
      <c r="NWP1" s="110"/>
      <c r="NWQ1" s="110"/>
      <c r="NWR1" s="110"/>
      <c r="NWS1" s="110"/>
      <c r="NWT1" s="110"/>
      <c r="NWU1" s="110"/>
      <c r="NWV1" s="110"/>
      <c r="NWW1" s="110"/>
      <c r="NWX1" s="110"/>
      <c r="NWY1" s="110"/>
      <c r="NWZ1" s="110"/>
      <c r="NXA1" s="110"/>
      <c r="NXB1" s="110"/>
      <c r="NXC1" s="110"/>
      <c r="NXD1" s="110"/>
      <c r="NXE1" s="110"/>
      <c r="NXF1" s="110"/>
      <c r="NXG1" s="110"/>
      <c r="NXH1" s="110"/>
      <c r="NXI1" s="110"/>
      <c r="NXJ1" s="110"/>
      <c r="NXK1" s="110"/>
      <c r="NXL1" s="110"/>
      <c r="NXM1" s="110"/>
      <c r="NXN1" s="110"/>
      <c r="NXO1" s="110"/>
      <c r="NXP1" s="110"/>
      <c r="NXQ1" s="110"/>
      <c r="NXR1" s="110"/>
      <c r="NXS1" s="110"/>
      <c r="NXT1" s="110"/>
      <c r="NXU1" s="110"/>
      <c r="NXV1" s="110"/>
      <c r="NXW1" s="110"/>
      <c r="NXX1" s="110"/>
      <c r="NXY1" s="110"/>
      <c r="NXZ1" s="110"/>
      <c r="NYA1" s="110"/>
      <c r="NYB1" s="110"/>
      <c r="NYC1" s="110"/>
      <c r="NYD1" s="110"/>
      <c r="NYE1" s="110"/>
      <c r="NYF1" s="110"/>
      <c r="NYG1" s="110"/>
      <c r="NYH1" s="110"/>
      <c r="NYI1" s="110"/>
      <c r="NYJ1" s="110"/>
      <c r="NYK1" s="110"/>
      <c r="NYL1" s="110"/>
      <c r="NYM1" s="110"/>
      <c r="NYN1" s="110"/>
      <c r="NYO1" s="110"/>
      <c r="NYP1" s="110"/>
      <c r="NYQ1" s="110"/>
      <c r="NYR1" s="110"/>
      <c r="NYS1" s="110"/>
      <c r="NYT1" s="110"/>
      <c r="NYU1" s="110"/>
      <c r="NYV1" s="110"/>
      <c r="NYW1" s="110"/>
      <c r="NYX1" s="110"/>
      <c r="NYY1" s="110"/>
      <c r="NYZ1" s="110"/>
      <c r="NZA1" s="110"/>
      <c r="NZB1" s="110"/>
      <c r="NZC1" s="110"/>
      <c r="NZD1" s="110"/>
      <c r="NZE1" s="110"/>
      <c r="NZF1" s="110"/>
      <c r="NZG1" s="110"/>
      <c r="NZH1" s="110"/>
      <c r="NZI1" s="110"/>
      <c r="NZJ1" s="110"/>
      <c r="NZK1" s="110"/>
      <c r="NZL1" s="110"/>
      <c r="NZM1" s="110"/>
      <c r="NZN1" s="110"/>
      <c r="NZO1" s="110"/>
      <c r="NZP1" s="110"/>
      <c r="NZQ1" s="110"/>
      <c r="NZR1" s="110"/>
      <c r="NZS1" s="110"/>
      <c r="NZT1" s="110"/>
      <c r="NZU1" s="110"/>
      <c r="NZV1" s="110"/>
      <c r="NZW1" s="110"/>
      <c r="NZX1" s="110"/>
      <c r="NZY1" s="110"/>
      <c r="NZZ1" s="110"/>
      <c r="OAA1" s="110"/>
      <c r="OAB1" s="110"/>
      <c r="OAC1" s="110"/>
      <c r="OAD1" s="110"/>
      <c r="OAE1" s="110"/>
      <c r="OAF1" s="110"/>
      <c r="OAG1" s="110"/>
      <c r="OAH1" s="110"/>
      <c r="OAI1" s="110"/>
      <c r="OAJ1" s="110"/>
      <c r="OAK1" s="110"/>
      <c r="OAL1" s="110"/>
      <c r="OAM1" s="110"/>
      <c r="OAN1" s="110"/>
      <c r="OAO1" s="110"/>
      <c r="OAP1" s="110"/>
      <c r="OAQ1" s="110"/>
      <c r="OAR1" s="110"/>
      <c r="OAS1" s="110"/>
      <c r="OAT1" s="110"/>
      <c r="OAU1" s="110"/>
      <c r="OAV1" s="110"/>
      <c r="OAW1" s="110"/>
      <c r="OAX1" s="110"/>
      <c r="OAY1" s="110"/>
      <c r="OAZ1" s="110"/>
      <c r="OBA1" s="110"/>
      <c r="OBB1" s="110"/>
      <c r="OBC1" s="110"/>
      <c r="OBD1" s="110"/>
      <c r="OBE1" s="110"/>
      <c r="OBF1" s="110"/>
      <c r="OBG1" s="110"/>
      <c r="OBH1" s="110"/>
      <c r="OBI1" s="110"/>
      <c r="OBJ1" s="110"/>
      <c r="OBK1" s="110"/>
      <c r="OBL1" s="110"/>
      <c r="OBM1" s="110"/>
      <c r="OBN1" s="110"/>
      <c r="OBO1" s="110"/>
      <c r="OBP1" s="110"/>
      <c r="OBQ1" s="110"/>
      <c r="OBR1" s="110"/>
      <c r="OBS1" s="110"/>
      <c r="OBT1" s="110"/>
      <c r="OBU1" s="110"/>
      <c r="OBV1" s="110"/>
      <c r="OBW1" s="110"/>
      <c r="OBX1" s="110"/>
      <c r="OBY1" s="110"/>
      <c r="OBZ1" s="110"/>
      <c r="OCA1" s="110"/>
      <c r="OCB1" s="110"/>
      <c r="OCC1" s="110"/>
      <c r="OCD1" s="110"/>
      <c r="OCE1" s="110"/>
      <c r="OCF1" s="110"/>
      <c r="OCG1" s="110"/>
      <c r="OCH1" s="110"/>
      <c r="OCI1" s="110"/>
      <c r="OCJ1" s="110"/>
      <c r="OCK1" s="110"/>
      <c r="OCL1" s="110"/>
      <c r="OCM1" s="110"/>
      <c r="OCN1" s="110"/>
      <c r="OCO1" s="110"/>
      <c r="OCP1" s="110"/>
      <c r="OCQ1" s="110"/>
      <c r="OCR1" s="110"/>
      <c r="OCS1" s="110"/>
      <c r="OCT1" s="110"/>
      <c r="OCU1" s="110"/>
      <c r="OCV1" s="110"/>
      <c r="OCW1" s="110"/>
      <c r="OCX1" s="110"/>
      <c r="OCY1" s="110"/>
      <c r="OCZ1" s="110"/>
      <c r="ODA1" s="110"/>
      <c r="ODB1" s="110"/>
      <c r="ODC1" s="110"/>
      <c r="ODD1" s="110"/>
      <c r="ODE1" s="110"/>
      <c r="ODF1" s="110"/>
      <c r="ODG1" s="110"/>
      <c r="ODH1" s="110"/>
      <c r="ODI1" s="110"/>
      <c r="ODJ1" s="110"/>
      <c r="ODK1" s="110"/>
      <c r="ODL1" s="110"/>
      <c r="ODM1" s="110"/>
      <c r="ODN1" s="110"/>
      <c r="ODO1" s="110"/>
      <c r="ODP1" s="110"/>
      <c r="ODQ1" s="110"/>
      <c r="ODR1" s="110"/>
      <c r="ODS1" s="110"/>
      <c r="ODT1" s="110"/>
      <c r="ODU1" s="110"/>
      <c r="ODV1" s="110"/>
      <c r="ODW1" s="110"/>
      <c r="ODX1" s="110"/>
      <c r="ODY1" s="110"/>
      <c r="ODZ1" s="110"/>
      <c r="OEA1" s="110"/>
      <c r="OEB1" s="110"/>
      <c r="OEC1" s="110"/>
      <c r="OED1" s="110"/>
      <c r="OEE1" s="110"/>
      <c r="OEF1" s="110"/>
      <c r="OEG1" s="110"/>
      <c r="OEH1" s="110"/>
      <c r="OEI1" s="110"/>
      <c r="OEJ1" s="110"/>
      <c r="OEK1" s="110"/>
      <c r="OEL1" s="110"/>
      <c r="OEM1" s="110"/>
      <c r="OEN1" s="110"/>
      <c r="OEO1" s="110"/>
      <c r="OEP1" s="110"/>
      <c r="OEQ1" s="110"/>
      <c r="OER1" s="110"/>
      <c r="OES1" s="110"/>
      <c r="OET1" s="110"/>
      <c r="OEU1" s="110"/>
      <c r="OEV1" s="110"/>
      <c r="OEW1" s="110"/>
      <c r="OEX1" s="110"/>
      <c r="OEY1" s="110"/>
      <c r="OEZ1" s="110"/>
      <c r="OFA1" s="110"/>
      <c r="OFB1" s="110"/>
      <c r="OFC1" s="110"/>
      <c r="OFD1" s="110"/>
      <c r="OFE1" s="110"/>
      <c r="OFF1" s="110"/>
      <c r="OFG1" s="110"/>
      <c r="OFH1" s="110"/>
      <c r="OFI1" s="110"/>
      <c r="OFJ1" s="110"/>
      <c r="OFK1" s="110"/>
      <c r="OFL1" s="110"/>
      <c r="OFM1" s="110"/>
      <c r="OFN1" s="110"/>
      <c r="OFO1" s="110"/>
      <c r="OFP1" s="110"/>
      <c r="OFQ1" s="110"/>
      <c r="OFR1" s="110"/>
      <c r="OFS1" s="110"/>
      <c r="OFT1" s="110"/>
      <c r="OFU1" s="110"/>
      <c r="OFV1" s="110"/>
      <c r="OFW1" s="110"/>
      <c r="OFX1" s="110"/>
      <c r="OFY1" s="110"/>
      <c r="OFZ1" s="110"/>
      <c r="OGA1" s="110"/>
      <c r="OGB1" s="110"/>
      <c r="OGC1" s="110"/>
      <c r="OGD1" s="110"/>
      <c r="OGE1" s="110"/>
      <c r="OGF1" s="110"/>
      <c r="OGG1" s="110"/>
      <c r="OGH1" s="110"/>
      <c r="OGI1" s="110"/>
      <c r="OGJ1" s="110"/>
      <c r="OGK1" s="110"/>
      <c r="OGL1" s="110"/>
      <c r="OGM1" s="110"/>
      <c r="OGN1" s="110"/>
      <c r="OGO1" s="110"/>
      <c r="OGP1" s="110"/>
      <c r="OGQ1" s="110"/>
      <c r="OGR1" s="110"/>
      <c r="OGS1" s="110"/>
      <c r="OGT1" s="110"/>
      <c r="OGU1" s="110"/>
      <c r="OGV1" s="110"/>
      <c r="OGW1" s="110"/>
      <c r="OGX1" s="110"/>
      <c r="OGY1" s="110"/>
      <c r="OGZ1" s="110"/>
      <c r="OHA1" s="110"/>
      <c r="OHB1" s="110"/>
      <c r="OHC1" s="110"/>
      <c r="OHD1" s="110"/>
      <c r="OHE1" s="110"/>
      <c r="OHF1" s="110"/>
      <c r="OHG1" s="110"/>
      <c r="OHH1" s="110"/>
      <c r="OHI1" s="110"/>
      <c r="OHJ1" s="110"/>
      <c r="OHK1" s="110"/>
      <c r="OHL1" s="110"/>
      <c r="OHM1" s="110"/>
      <c r="OHN1" s="110"/>
      <c r="OHO1" s="110"/>
      <c r="OHP1" s="110"/>
      <c r="OHQ1" s="110"/>
      <c r="OHR1" s="110"/>
      <c r="OHS1" s="110"/>
      <c r="OHT1" s="110"/>
      <c r="OHU1" s="110"/>
      <c r="OHV1" s="110"/>
      <c r="OHW1" s="110"/>
      <c r="OHX1" s="110"/>
      <c r="OHY1" s="110"/>
      <c r="OHZ1" s="110"/>
      <c r="OIA1" s="110"/>
      <c r="OIB1" s="110"/>
      <c r="OIC1" s="110"/>
      <c r="OID1" s="110"/>
      <c r="OIE1" s="110"/>
      <c r="OIF1" s="110"/>
      <c r="OIG1" s="110"/>
      <c r="OIH1" s="110"/>
      <c r="OII1" s="110"/>
      <c r="OIJ1" s="110"/>
      <c r="OIK1" s="110"/>
      <c r="OIL1" s="110"/>
      <c r="OIM1" s="110"/>
      <c r="OIN1" s="110"/>
      <c r="OIO1" s="110"/>
      <c r="OIP1" s="110"/>
      <c r="OIQ1" s="110"/>
      <c r="OIR1" s="110"/>
      <c r="OIS1" s="110"/>
      <c r="OIT1" s="110"/>
      <c r="OIU1" s="110"/>
      <c r="OIV1" s="110"/>
      <c r="OIW1" s="110"/>
      <c r="OIX1" s="110"/>
      <c r="OIY1" s="110"/>
      <c r="OIZ1" s="110"/>
      <c r="OJA1" s="110"/>
      <c r="OJB1" s="110"/>
      <c r="OJC1" s="110"/>
      <c r="OJD1" s="110"/>
      <c r="OJE1" s="110"/>
      <c r="OJF1" s="110"/>
      <c r="OJG1" s="110"/>
      <c r="OJH1" s="110"/>
      <c r="OJI1" s="110"/>
      <c r="OJJ1" s="110"/>
      <c r="OJK1" s="110"/>
      <c r="OJL1" s="110"/>
      <c r="OJM1" s="110"/>
      <c r="OJN1" s="110"/>
      <c r="OJO1" s="110"/>
      <c r="OJP1" s="110"/>
      <c r="OJQ1" s="110"/>
      <c r="OJR1" s="110"/>
      <c r="OJS1" s="110"/>
      <c r="OJT1" s="110"/>
      <c r="OJU1" s="110"/>
      <c r="OJV1" s="110"/>
      <c r="OJW1" s="110"/>
      <c r="OJX1" s="110"/>
      <c r="OJY1" s="110"/>
      <c r="OJZ1" s="110"/>
      <c r="OKA1" s="110"/>
      <c r="OKB1" s="110"/>
      <c r="OKC1" s="110"/>
      <c r="OKD1" s="110"/>
      <c r="OKE1" s="110"/>
      <c r="OKF1" s="110"/>
      <c r="OKG1" s="110"/>
      <c r="OKH1" s="110"/>
      <c r="OKI1" s="110"/>
      <c r="OKJ1" s="110"/>
      <c r="OKK1" s="110"/>
      <c r="OKL1" s="110"/>
      <c r="OKM1" s="110"/>
      <c r="OKN1" s="110"/>
      <c r="OKO1" s="110"/>
      <c r="OKP1" s="110"/>
      <c r="OKQ1" s="110"/>
      <c r="OKR1" s="110"/>
      <c r="OKS1" s="110"/>
      <c r="OKT1" s="110"/>
      <c r="OKU1" s="110"/>
      <c r="OKV1" s="110"/>
      <c r="OKW1" s="110"/>
      <c r="OKX1" s="110"/>
      <c r="OKY1" s="110"/>
      <c r="OKZ1" s="110"/>
      <c r="OLA1" s="110"/>
      <c r="OLB1" s="110"/>
      <c r="OLC1" s="110"/>
      <c r="OLD1" s="110"/>
      <c r="OLE1" s="110"/>
      <c r="OLF1" s="110"/>
      <c r="OLG1" s="110"/>
      <c r="OLH1" s="110"/>
      <c r="OLI1" s="110"/>
      <c r="OLJ1" s="110"/>
      <c r="OLK1" s="110"/>
      <c r="OLL1" s="110"/>
      <c r="OLM1" s="110"/>
      <c r="OLN1" s="110"/>
      <c r="OLO1" s="110"/>
      <c r="OLP1" s="110"/>
      <c r="OLQ1" s="110"/>
      <c r="OLR1" s="110"/>
      <c r="OLS1" s="110"/>
      <c r="OLT1" s="110"/>
      <c r="OLU1" s="110"/>
      <c r="OLV1" s="110"/>
      <c r="OLW1" s="110"/>
      <c r="OLX1" s="110"/>
      <c r="OLY1" s="110"/>
      <c r="OLZ1" s="110"/>
      <c r="OMA1" s="110"/>
      <c r="OMB1" s="110"/>
      <c r="OMC1" s="110"/>
      <c r="OMD1" s="110"/>
      <c r="OME1" s="110"/>
      <c r="OMF1" s="110"/>
      <c r="OMG1" s="110"/>
      <c r="OMH1" s="110"/>
      <c r="OMI1" s="110"/>
      <c r="OMJ1" s="110"/>
      <c r="OMK1" s="110"/>
      <c r="OML1" s="110"/>
      <c r="OMM1" s="110"/>
      <c r="OMN1" s="110"/>
      <c r="OMO1" s="110"/>
      <c r="OMP1" s="110"/>
      <c r="OMQ1" s="110"/>
      <c r="OMR1" s="110"/>
      <c r="OMS1" s="110"/>
      <c r="OMT1" s="110"/>
      <c r="OMU1" s="110"/>
      <c r="OMV1" s="110"/>
      <c r="OMW1" s="110"/>
      <c r="OMX1" s="110"/>
      <c r="OMY1" s="110"/>
      <c r="OMZ1" s="110"/>
      <c r="ONA1" s="110"/>
      <c r="ONB1" s="110"/>
      <c r="ONC1" s="110"/>
      <c r="OND1" s="110"/>
      <c r="ONE1" s="110"/>
      <c r="ONF1" s="110"/>
      <c r="ONG1" s="110"/>
      <c r="ONH1" s="110"/>
      <c r="ONI1" s="110"/>
      <c r="ONJ1" s="110"/>
      <c r="ONK1" s="110"/>
      <c r="ONL1" s="110"/>
      <c r="ONM1" s="110"/>
      <c r="ONN1" s="110"/>
      <c r="ONO1" s="110"/>
      <c r="ONP1" s="110"/>
      <c r="ONQ1" s="110"/>
      <c r="ONR1" s="110"/>
      <c r="ONS1" s="110"/>
      <c r="ONT1" s="110"/>
      <c r="ONU1" s="110"/>
      <c r="ONV1" s="110"/>
      <c r="ONW1" s="110"/>
      <c r="ONX1" s="110"/>
      <c r="ONY1" s="110"/>
      <c r="ONZ1" s="110"/>
      <c r="OOA1" s="110"/>
      <c r="OOB1" s="110"/>
      <c r="OOC1" s="110"/>
      <c r="OOD1" s="110"/>
      <c r="OOE1" s="110"/>
      <c r="OOF1" s="110"/>
      <c r="OOG1" s="110"/>
      <c r="OOH1" s="110"/>
      <c r="OOI1" s="110"/>
      <c r="OOJ1" s="110"/>
      <c r="OOK1" s="110"/>
      <c r="OOL1" s="110"/>
      <c r="OOM1" s="110"/>
      <c r="OON1" s="110"/>
      <c r="OOO1" s="110"/>
      <c r="OOP1" s="110"/>
      <c r="OOQ1" s="110"/>
      <c r="OOR1" s="110"/>
      <c r="OOS1" s="110"/>
      <c r="OOT1" s="110"/>
      <c r="OOU1" s="110"/>
      <c r="OOV1" s="110"/>
      <c r="OOW1" s="110"/>
      <c r="OOX1" s="110"/>
      <c r="OOY1" s="110"/>
      <c r="OOZ1" s="110"/>
      <c r="OPA1" s="110"/>
      <c r="OPB1" s="110"/>
      <c r="OPC1" s="110"/>
      <c r="OPD1" s="110"/>
      <c r="OPE1" s="110"/>
      <c r="OPF1" s="110"/>
      <c r="OPG1" s="110"/>
      <c r="OPH1" s="110"/>
      <c r="OPI1" s="110"/>
      <c r="OPJ1" s="110"/>
      <c r="OPK1" s="110"/>
      <c r="OPL1" s="110"/>
      <c r="OPM1" s="110"/>
      <c r="OPN1" s="110"/>
      <c r="OPO1" s="110"/>
      <c r="OPP1" s="110"/>
      <c r="OPQ1" s="110"/>
      <c r="OPR1" s="110"/>
      <c r="OPS1" s="110"/>
      <c r="OPT1" s="110"/>
      <c r="OPU1" s="110"/>
      <c r="OPV1" s="110"/>
      <c r="OPW1" s="110"/>
      <c r="OPX1" s="110"/>
      <c r="OPY1" s="110"/>
      <c r="OPZ1" s="110"/>
      <c r="OQA1" s="110"/>
      <c r="OQB1" s="110"/>
      <c r="OQC1" s="110"/>
      <c r="OQD1" s="110"/>
      <c r="OQE1" s="110"/>
      <c r="OQF1" s="110"/>
      <c r="OQG1" s="110"/>
      <c r="OQH1" s="110"/>
      <c r="OQI1" s="110"/>
      <c r="OQJ1" s="110"/>
      <c r="OQK1" s="110"/>
      <c r="OQL1" s="110"/>
      <c r="OQM1" s="110"/>
      <c r="OQN1" s="110"/>
      <c r="OQO1" s="110"/>
      <c r="OQP1" s="110"/>
      <c r="OQQ1" s="110"/>
      <c r="OQR1" s="110"/>
      <c r="OQS1" s="110"/>
      <c r="OQT1" s="110"/>
      <c r="OQU1" s="110"/>
      <c r="OQV1" s="110"/>
      <c r="OQW1" s="110"/>
      <c r="OQX1" s="110"/>
      <c r="OQY1" s="110"/>
      <c r="OQZ1" s="110"/>
      <c r="ORA1" s="110"/>
      <c r="ORB1" s="110"/>
      <c r="ORC1" s="110"/>
      <c r="ORD1" s="110"/>
      <c r="ORE1" s="110"/>
      <c r="ORF1" s="110"/>
      <c r="ORG1" s="110"/>
      <c r="ORH1" s="110"/>
      <c r="ORI1" s="110"/>
      <c r="ORJ1" s="110"/>
      <c r="ORK1" s="110"/>
      <c r="ORL1" s="110"/>
      <c r="ORM1" s="110"/>
      <c r="ORN1" s="110"/>
      <c r="ORO1" s="110"/>
      <c r="ORP1" s="110"/>
      <c r="ORQ1" s="110"/>
      <c r="ORR1" s="110"/>
      <c r="ORS1" s="110"/>
      <c r="ORT1" s="110"/>
      <c r="ORU1" s="110"/>
      <c r="ORV1" s="110"/>
      <c r="ORW1" s="110"/>
      <c r="ORX1" s="110"/>
      <c r="ORY1" s="110"/>
      <c r="ORZ1" s="110"/>
      <c r="OSA1" s="110"/>
      <c r="OSB1" s="110"/>
      <c r="OSC1" s="110"/>
      <c r="OSD1" s="110"/>
      <c r="OSE1" s="110"/>
      <c r="OSF1" s="110"/>
      <c r="OSG1" s="110"/>
      <c r="OSH1" s="110"/>
      <c r="OSI1" s="110"/>
      <c r="OSJ1" s="110"/>
      <c r="OSK1" s="110"/>
      <c r="OSL1" s="110"/>
      <c r="OSM1" s="110"/>
      <c r="OSN1" s="110"/>
      <c r="OSO1" s="110"/>
      <c r="OSP1" s="110"/>
      <c r="OSQ1" s="110"/>
      <c r="OSR1" s="110"/>
      <c r="OSS1" s="110"/>
      <c r="OST1" s="110"/>
      <c r="OSU1" s="110"/>
      <c r="OSV1" s="110"/>
      <c r="OSW1" s="110"/>
      <c r="OSX1" s="110"/>
      <c r="OSY1" s="110"/>
      <c r="OSZ1" s="110"/>
      <c r="OTA1" s="110"/>
      <c r="OTB1" s="110"/>
      <c r="OTC1" s="110"/>
      <c r="OTD1" s="110"/>
      <c r="OTE1" s="110"/>
      <c r="OTF1" s="110"/>
      <c r="OTG1" s="110"/>
      <c r="OTH1" s="110"/>
      <c r="OTI1" s="110"/>
      <c r="OTJ1" s="110"/>
      <c r="OTK1" s="110"/>
      <c r="OTL1" s="110"/>
      <c r="OTM1" s="110"/>
      <c r="OTN1" s="110"/>
      <c r="OTO1" s="110"/>
      <c r="OTP1" s="110"/>
      <c r="OTQ1" s="110"/>
      <c r="OTR1" s="110"/>
      <c r="OTS1" s="110"/>
      <c r="OTT1" s="110"/>
      <c r="OTU1" s="110"/>
      <c r="OTV1" s="110"/>
      <c r="OTW1" s="110"/>
      <c r="OTX1" s="110"/>
      <c r="OTY1" s="110"/>
      <c r="OTZ1" s="110"/>
      <c r="OUA1" s="110"/>
      <c r="OUB1" s="110"/>
      <c r="OUC1" s="110"/>
      <c r="OUD1" s="110"/>
      <c r="OUE1" s="110"/>
      <c r="OUF1" s="110"/>
      <c r="OUG1" s="110"/>
      <c r="OUH1" s="110"/>
      <c r="OUI1" s="110"/>
      <c r="OUJ1" s="110"/>
      <c r="OUK1" s="110"/>
      <c r="OUL1" s="110"/>
      <c r="OUM1" s="110"/>
      <c r="OUN1" s="110"/>
      <c r="OUO1" s="110"/>
      <c r="OUP1" s="110"/>
      <c r="OUQ1" s="110"/>
      <c r="OUR1" s="110"/>
      <c r="OUS1" s="110"/>
      <c r="OUT1" s="110"/>
      <c r="OUU1" s="110"/>
      <c r="OUV1" s="110"/>
      <c r="OUW1" s="110"/>
      <c r="OUX1" s="110"/>
      <c r="OUY1" s="110"/>
      <c r="OUZ1" s="110"/>
      <c r="OVA1" s="110"/>
      <c r="OVB1" s="110"/>
      <c r="OVC1" s="110"/>
      <c r="OVD1" s="110"/>
      <c r="OVE1" s="110"/>
      <c r="OVF1" s="110"/>
      <c r="OVG1" s="110"/>
      <c r="OVH1" s="110"/>
      <c r="OVI1" s="110"/>
      <c r="OVJ1" s="110"/>
      <c r="OVK1" s="110"/>
      <c r="OVL1" s="110"/>
      <c r="OVM1" s="110"/>
      <c r="OVN1" s="110"/>
      <c r="OVO1" s="110"/>
      <c r="OVP1" s="110"/>
      <c r="OVQ1" s="110"/>
      <c r="OVR1" s="110"/>
      <c r="OVS1" s="110"/>
      <c r="OVT1" s="110"/>
      <c r="OVU1" s="110"/>
      <c r="OVV1" s="110"/>
      <c r="OVW1" s="110"/>
      <c r="OVX1" s="110"/>
      <c r="OVY1" s="110"/>
      <c r="OVZ1" s="110"/>
      <c r="OWA1" s="110"/>
      <c r="OWB1" s="110"/>
      <c r="OWC1" s="110"/>
      <c r="OWD1" s="110"/>
      <c r="OWE1" s="110"/>
      <c r="OWF1" s="110"/>
      <c r="OWG1" s="110"/>
      <c r="OWH1" s="110"/>
      <c r="OWI1" s="110"/>
      <c r="OWJ1" s="110"/>
      <c r="OWK1" s="110"/>
      <c r="OWL1" s="110"/>
      <c r="OWM1" s="110"/>
      <c r="OWN1" s="110"/>
      <c r="OWO1" s="110"/>
      <c r="OWP1" s="110"/>
      <c r="OWQ1" s="110"/>
      <c r="OWR1" s="110"/>
      <c r="OWS1" s="110"/>
      <c r="OWT1" s="110"/>
      <c r="OWU1" s="110"/>
      <c r="OWV1" s="110"/>
      <c r="OWW1" s="110"/>
      <c r="OWX1" s="110"/>
      <c r="OWY1" s="110"/>
      <c r="OWZ1" s="110"/>
      <c r="OXA1" s="110"/>
      <c r="OXB1" s="110"/>
      <c r="OXC1" s="110"/>
      <c r="OXD1" s="110"/>
      <c r="OXE1" s="110"/>
      <c r="OXF1" s="110"/>
      <c r="OXG1" s="110"/>
      <c r="OXH1" s="110"/>
      <c r="OXI1" s="110"/>
      <c r="OXJ1" s="110"/>
      <c r="OXK1" s="110"/>
      <c r="OXL1" s="110"/>
      <c r="OXM1" s="110"/>
      <c r="OXN1" s="110"/>
      <c r="OXO1" s="110"/>
      <c r="OXP1" s="110"/>
      <c r="OXQ1" s="110"/>
      <c r="OXR1" s="110"/>
      <c r="OXS1" s="110"/>
      <c r="OXT1" s="110"/>
      <c r="OXU1" s="110"/>
      <c r="OXV1" s="110"/>
      <c r="OXW1" s="110"/>
      <c r="OXX1" s="110"/>
      <c r="OXY1" s="110"/>
      <c r="OXZ1" s="110"/>
      <c r="OYA1" s="110"/>
      <c r="OYB1" s="110"/>
      <c r="OYC1" s="110"/>
      <c r="OYD1" s="110"/>
      <c r="OYE1" s="110"/>
      <c r="OYF1" s="110"/>
      <c r="OYG1" s="110"/>
      <c r="OYH1" s="110"/>
      <c r="OYI1" s="110"/>
      <c r="OYJ1" s="110"/>
      <c r="OYK1" s="110"/>
      <c r="OYL1" s="110"/>
      <c r="OYM1" s="110"/>
      <c r="OYN1" s="110"/>
      <c r="OYO1" s="110"/>
      <c r="OYP1" s="110"/>
      <c r="OYQ1" s="110"/>
      <c r="OYR1" s="110"/>
      <c r="OYS1" s="110"/>
      <c r="OYT1" s="110"/>
      <c r="OYU1" s="110"/>
      <c r="OYV1" s="110"/>
      <c r="OYW1" s="110"/>
      <c r="OYX1" s="110"/>
      <c r="OYY1" s="110"/>
      <c r="OYZ1" s="110"/>
      <c r="OZA1" s="110"/>
      <c r="OZB1" s="110"/>
      <c r="OZC1" s="110"/>
      <c r="OZD1" s="110"/>
      <c r="OZE1" s="110"/>
      <c r="OZF1" s="110"/>
      <c r="OZG1" s="110"/>
      <c r="OZH1" s="110"/>
      <c r="OZI1" s="110"/>
      <c r="OZJ1" s="110"/>
      <c r="OZK1" s="110"/>
      <c r="OZL1" s="110"/>
      <c r="OZM1" s="110"/>
      <c r="OZN1" s="110"/>
      <c r="OZO1" s="110"/>
      <c r="OZP1" s="110"/>
      <c r="OZQ1" s="110"/>
      <c r="OZR1" s="110"/>
      <c r="OZS1" s="110"/>
      <c r="OZT1" s="110"/>
      <c r="OZU1" s="110"/>
      <c r="OZV1" s="110"/>
      <c r="OZW1" s="110"/>
      <c r="OZX1" s="110"/>
      <c r="OZY1" s="110"/>
      <c r="OZZ1" s="110"/>
      <c r="PAA1" s="110"/>
      <c r="PAB1" s="110"/>
      <c r="PAC1" s="110"/>
      <c r="PAD1" s="110"/>
      <c r="PAE1" s="110"/>
      <c r="PAF1" s="110"/>
      <c r="PAG1" s="110"/>
      <c r="PAH1" s="110"/>
      <c r="PAI1" s="110"/>
      <c r="PAJ1" s="110"/>
      <c r="PAK1" s="110"/>
      <c r="PAL1" s="110"/>
      <c r="PAM1" s="110"/>
      <c r="PAN1" s="110"/>
      <c r="PAO1" s="110"/>
      <c r="PAP1" s="110"/>
      <c r="PAQ1" s="110"/>
      <c r="PAR1" s="110"/>
      <c r="PAS1" s="110"/>
      <c r="PAT1" s="110"/>
      <c r="PAU1" s="110"/>
      <c r="PAV1" s="110"/>
      <c r="PAW1" s="110"/>
      <c r="PAX1" s="110"/>
      <c r="PAY1" s="110"/>
      <c r="PAZ1" s="110"/>
      <c r="PBA1" s="110"/>
      <c r="PBB1" s="110"/>
      <c r="PBC1" s="110"/>
      <c r="PBD1" s="110"/>
      <c r="PBE1" s="110"/>
      <c r="PBF1" s="110"/>
      <c r="PBG1" s="110"/>
      <c r="PBH1" s="110"/>
      <c r="PBI1" s="110"/>
      <c r="PBJ1" s="110"/>
      <c r="PBK1" s="110"/>
      <c r="PBL1" s="110"/>
      <c r="PBM1" s="110"/>
      <c r="PBN1" s="110"/>
      <c r="PBO1" s="110"/>
      <c r="PBP1" s="110"/>
      <c r="PBQ1" s="110"/>
      <c r="PBR1" s="110"/>
      <c r="PBS1" s="110"/>
      <c r="PBT1" s="110"/>
      <c r="PBU1" s="110"/>
      <c r="PBV1" s="110"/>
      <c r="PBW1" s="110"/>
      <c r="PBX1" s="110"/>
      <c r="PBY1" s="110"/>
      <c r="PBZ1" s="110"/>
      <c r="PCA1" s="110"/>
      <c r="PCB1" s="110"/>
      <c r="PCC1" s="110"/>
      <c r="PCD1" s="110"/>
      <c r="PCE1" s="110"/>
      <c r="PCF1" s="110"/>
      <c r="PCG1" s="110"/>
      <c r="PCH1" s="110"/>
      <c r="PCI1" s="110"/>
      <c r="PCJ1" s="110"/>
      <c r="PCK1" s="110"/>
      <c r="PCL1" s="110"/>
      <c r="PCM1" s="110"/>
      <c r="PCN1" s="110"/>
      <c r="PCO1" s="110"/>
      <c r="PCP1" s="110"/>
      <c r="PCQ1" s="110"/>
      <c r="PCR1" s="110"/>
      <c r="PCS1" s="110"/>
      <c r="PCT1" s="110"/>
      <c r="PCU1" s="110"/>
      <c r="PCV1" s="110"/>
      <c r="PCW1" s="110"/>
      <c r="PCX1" s="110"/>
      <c r="PCY1" s="110"/>
      <c r="PCZ1" s="110"/>
      <c r="PDA1" s="110"/>
      <c r="PDB1" s="110"/>
      <c r="PDC1" s="110"/>
      <c r="PDD1" s="110"/>
      <c r="PDE1" s="110"/>
      <c r="PDF1" s="110"/>
      <c r="PDG1" s="110"/>
      <c r="PDH1" s="110"/>
      <c r="PDI1" s="110"/>
      <c r="PDJ1" s="110"/>
      <c r="PDK1" s="110"/>
      <c r="PDL1" s="110"/>
      <c r="PDM1" s="110"/>
      <c r="PDN1" s="110"/>
      <c r="PDO1" s="110"/>
      <c r="PDP1" s="110"/>
      <c r="PDQ1" s="110"/>
      <c r="PDR1" s="110"/>
      <c r="PDS1" s="110"/>
      <c r="PDT1" s="110"/>
      <c r="PDU1" s="110"/>
      <c r="PDV1" s="110"/>
      <c r="PDW1" s="110"/>
      <c r="PDX1" s="110"/>
      <c r="PDY1" s="110"/>
      <c r="PDZ1" s="110"/>
      <c r="PEA1" s="110"/>
      <c r="PEB1" s="110"/>
      <c r="PEC1" s="110"/>
      <c r="PED1" s="110"/>
      <c r="PEE1" s="110"/>
      <c r="PEF1" s="110"/>
      <c r="PEG1" s="110"/>
      <c r="PEH1" s="110"/>
      <c r="PEI1" s="110"/>
      <c r="PEJ1" s="110"/>
      <c r="PEK1" s="110"/>
      <c r="PEL1" s="110"/>
      <c r="PEM1" s="110"/>
      <c r="PEN1" s="110"/>
      <c r="PEO1" s="110"/>
      <c r="PEP1" s="110"/>
      <c r="PEQ1" s="110"/>
      <c r="PER1" s="110"/>
      <c r="PES1" s="110"/>
      <c r="PET1" s="110"/>
      <c r="PEU1" s="110"/>
      <c r="PEV1" s="110"/>
      <c r="PEW1" s="110"/>
      <c r="PEX1" s="110"/>
      <c r="PEY1" s="110"/>
      <c r="PEZ1" s="110"/>
      <c r="PFA1" s="110"/>
      <c r="PFB1" s="110"/>
      <c r="PFC1" s="110"/>
      <c r="PFD1" s="110"/>
      <c r="PFE1" s="110"/>
      <c r="PFF1" s="110"/>
      <c r="PFG1" s="110"/>
      <c r="PFH1" s="110"/>
      <c r="PFI1" s="110"/>
      <c r="PFJ1" s="110"/>
      <c r="PFK1" s="110"/>
      <c r="PFL1" s="110"/>
      <c r="PFM1" s="110"/>
      <c r="PFN1" s="110"/>
      <c r="PFO1" s="110"/>
      <c r="PFP1" s="110"/>
      <c r="PFQ1" s="110"/>
      <c r="PFR1" s="110"/>
      <c r="PFS1" s="110"/>
      <c r="PFT1" s="110"/>
      <c r="PFU1" s="110"/>
      <c r="PFV1" s="110"/>
      <c r="PFW1" s="110"/>
      <c r="PFX1" s="110"/>
      <c r="PFY1" s="110"/>
      <c r="PFZ1" s="110"/>
      <c r="PGA1" s="110"/>
      <c r="PGB1" s="110"/>
      <c r="PGC1" s="110"/>
      <c r="PGD1" s="110"/>
      <c r="PGE1" s="110"/>
      <c r="PGF1" s="110"/>
      <c r="PGG1" s="110"/>
      <c r="PGH1" s="110"/>
      <c r="PGI1" s="110"/>
      <c r="PGJ1" s="110"/>
      <c r="PGK1" s="110"/>
      <c r="PGL1" s="110"/>
      <c r="PGM1" s="110"/>
      <c r="PGN1" s="110"/>
      <c r="PGO1" s="110"/>
      <c r="PGP1" s="110"/>
      <c r="PGQ1" s="110"/>
      <c r="PGR1" s="110"/>
      <c r="PGS1" s="110"/>
      <c r="PGT1" s="110"/>
      <c r="PGU1" s="110"/>
      <c r="PGV1" s="110"/>
      <c r="PGW1" s="110"/>
      <c r="PGX1" s="110"/>
      <c r="PGY1" s="110"/>
      <c r="PGZ1" s="110"/>
      <c r="PHA1" s="110"/>
      <c r="PHB1" s="110"/>
      <c r="PHC1" s="110"/>
      <c r="PHD1" s="110"/>
      <c r="PHE1" s="110"/>
      <c r="PHF1" s="110"/>
      <c r="PHG1" s="110"/>
      <c r="PHH1" s="110"/>
      <c r="PHI1" s="110"/>
      <c r="PHJ1" s="110"/>
      <c r="PHK1" s="110"/>
      <c r="PHL1" s="110"/>
      <c r="PHM1" s="110"/>
      <c r="PHN1" s="110"/>
      <c r="PHO1" s="110"/>
      <c r="PHP1" s="110"/>
      <c r="PHQ1" s="110"/>
      <c r="PHR1" s="110"/>
      <c r="PHS1" s="110"/>
      <c r="PHT1" s="110"/>
      <c r="PHU1" s="110"/>
      <c r="PHV1" s="110"/>
      <c r="PHW1" s="110"/>
      <c r="PHX1" s="110"/>
      <c r="PHY1" s="110"/>
      <c r="PHZ1" s="110"/>
      <c r="PIA1" s="110"/>
      <c r="PIB1" s="110"/>
      <c r="PIC1" s="110"/>
      <c r="PID1" s="110"/>
      <c r="PIE1" s="110"/>
      <c r="PIF1" s="110"/>
      <c r="PIG1" s="110"/>
      <c r="PIH1" s="110"/>
      <c r="PII1" s="110"/>
      <c r="PIJ1" s="110"/>
      <c r="PIK1" s="110"/>
      <c r="PIL1" s="110"/>
      <c r="PIM1" s="110"/>
      <c r="PIN1" s="110"/>
      <c r="PIO1" s="110"/>
      <c r="PIP1" s="110"/>
      <c r="PIQ1" s="110"/>
      <c r="PIR1" s="110"/>
      <c r="PIS1" s="110"/>
      <c r="PIT1" s="110"/>
      <c r="PIU1" s="110"/>
      <c r="PIV1" s="110"/>
      <c r="PIW1" s="110"/>
      <c r="PIX1" s="110"/>
      <c r="PIY1" s="110"/>
      <c r="PIZ1" s="110"/>
      <c r="PJA1" s="110"/>
      <c r="PJB1" s="110"/>
      <c r="PJC1" s="110"/>
      <c r="PJD1" s="110"/>
      <c r="PJE1" s="110"/>
      <c r="PJF1" s="110"/>
      <c r="PJG1" s="110"/>
      <c r="PJH1" s="110"/>
      <c r="PJI1" s="110"/>
      <c r="PJJ1" s="110"/>
      <c r="PJK1" s="110"/>
      <c r="PJL1" s="110"/>
      <c r="PJM1" s="110"/>
      <c r="PJN1" s="110"/>
      <c r="PJO1" s="110"/>
      <c r="PJP1" s="110"/>
      <c r="PJQ1" s="110"/>
      <c r="PJR1" s="110"/>
      <c r="PJS1" s="110"/>
      <c r="PJT1" s="110"/>
      <c r="PJU1" s="110"/>
      <c r="PJV1" s="110"/>
      <c r="PJW1" s="110"/>
      <c r="PJX1" s="110"/>
      <c r="PJY1" s="110"/>
      <c r="PJZ1" s="110"/>
      <c r="PKA1" s="110"/>
      <c r="PKB1" s="110"/>
      <c r="PKC1" s="110"/>
      <c r="PKD1" s="110"/>
      <c r="PKE1" s="110"/>
      <c r="PKF1" s="110"/>
      <c r="PKG1" s="110"/>
      <c r="PKH1" s="110"/>
      <c r="PKI1" s="110"/>
      <c r="PKJ1" s="110"/>
      <c r="PKK1" s="110"/>
      <c r="PKL1" s="110"/>
      <c r="PKM1" s="110"/>
      <c r="PKN1" s="110"/>
      <c r="PKO1" s="110"/>
      <c r="PKP1" s="110"/>
      <c r="PKQ1" s="110"/>
      <c r="PKR1" s="110"/>
      <c r="PKS1" s="110"/>
      <c r="PKT1" s="110"/>
      <c r="PKU1" s="110"/>
      <c r="PKV1" s="110"/>
      <c r="PKW1" s="110"/>
      <c r="PKX1" s="110"/>
      <c r="PKY1" s="110"/>
      <c r="PKZ1" s="110"/>
      <c r="PLA1" s="110"/>
      <c r="PLB1" s="110"/>
      <c r="PLC1" s="110"/>
      <c r="PLD1" s="110"/>
      <c r="PLE1" s="110"/>
      <c r="PLF1" s="110"/>
      <c r="PLG1" s="110"/>
      <c r="PLH1" s="110"/>
      <c r="PLI1" s="110"/>
      <c r="PLJ1" s="110"/>
      <c r="PLK1" s="110"/>
      <c r="PLL1" s="110"/>
      <c r="PLM1" s="110"/>
      <c r="PLN1" s="110"/>
      <c r="PLO1" s="110"/>
      <c r="PLP1" s="110"/>
      <c r="PLQ1" s="110"/>
      <c r="PLR1" s="110"/>
      <c r="PLS1" s="110"/>
      <c r="PLT1" s="110"/>
      <c r="PLU1" s="110"/>
      <c r="PLV1" s="110"/>
      <c r="PLW1" s="110"/>
      <c r="PLX1" s="110"/>
      <c r="PLY1" s="110"/>
      <c r="PLZ1" s="110"/>
      <c r="PMA1" s="110"/>
      <c r="PMB1" s="110"/>
      <c r="PMC1" s="110"/>
      <c r="PMD1" s="110"/>
      <c r="PME1" s="110"/>
      <c r="PMF1" s="110"/>
      <c r="PMG1" s="110"/>
      <c r="PMH1" s="110"/>
      <c r="PMI1" s="110"/>
      <c r="PMJ1" s="110"/>
      <c r="PMK1" s="110"/>
      <c r="PML1" s="110"/>
      <c r="PMM1" s="110"/>
      <c r="PMN1" s="110"/>
      <c r="PMO1" s="110"/>
      <c r="PMP1" s="110"/>
      <c r="PMQ1" s="110"/>
      <c r="PMR1" s="110"/>
      <c r="PMS1" s="110"/>
      <c r="PMT1" s="110"/>
      <c r="PMU1" s="110"/>
      <c r="PMV1" s="110"/>
      <c r="PMW1" s="110"/>
      <c r="PMX1" s="110"/>
      <c r="PMY1" s="110"/>
      <c r="PMZ1" s="110"/>
      <c r="PNA1" s="110"/>
      <c r="PNB1" s="110"/>
      <c r="PNC1" s="110"/>
      <c r="PND1" s="110"/>
      <c r="PNE1" s="110"/>
      <c r="PNF1" s="110"/>
      <c r="PNG1" s="110"/>
      <c r="PNH1" s="110"/>
      <c r="PNI1" s="110"/>
      <c r="PNJ1" s="110"/>
      <c r="PNK1" s="110"/>
      <c r="PNL1" s="110"/>
      <c r="PNM1" s="110"/>
      <c r="PNN1" s="110"/>
      <c r="PNO1" s="110"/>
      <c r="PNP1" s="110"/>
      <c r="PNQ1" s="110"/>
      <c r="PNR1" s="110"/>
      <c r="PNS1" s="110"/>
      <c r="PNT1" s="110"/>
      <c r="PNU1" s="110"/>
      <c r="PNV1" s="110"/>
      <c r="PNW1" s="110"/>
      <c r="PNX1" s="110"/>
      <c r="PNY1" s="110"/>
      <c r="PNZ1" s="110"/>
      <c r="POA1" s="110"/>
      <c r="POB1" s="110"/>
      <c r="POC1" s="110"/>
      <c r="POD1" s="110"/>
      <c r="POE1" s="110"/>
      <c r="POF1" s="110"/>
      <c r="POG1" s="110"/>
      <c r="POH1" s="110"/>
      <c r="POI1" s="110"/>
      <c r="POJ1" s="110"/>
      <c r="POK1" s="110"/>
      <c r="POL1" s="110"/>
      <c r="POM1" s="110"/>
      <c r="PON1" s="110"/>
      <c r="POO1" s="110"/>
      <c r="POP1" s="110"/>
      <c r="POQ1" s="110"/>
      <c r="POR1" s="110"/>
      <c r="POS1" s="110"/>
      <c r="POT1" s="110"/>
      <c r="POU1" s="110"/>
      <c r="POV1" s="110"/>
      <c r="POW1" s="110"/>
      <c r="POX1" s="110"/>
      <c r="POY1" s="110"/>
      <c r="POZ1" s="110"/>
      <c r="PPA1" s="110"/>
      <c r="PPB1" s="110"/>
      <c r="PPC1" s="110"/>
      <c r="PPD1" s="110"/>
      <c r="PPE1" s="110"/>
      <c r="PPF1" s="110"/>
      <c r="PPG1" s="110"/>
      <c r="PPH1" s="110"/>
      <c r="PPI1" s="110"/>
      <c r="PPJ1" s="110"/>
      <c r="PPK1" s="110"/>
      <c r="PPL1" s="110"/>
      <c r="PPM1" s="110"/>
      <c r="PPN1" s="110"/>
      <c r="PPO1" s="110"/>
      <c r="PPP1" s="110"/>
      <c r="PPQ1" s="110"/>
      <c r="PPR1" s="110"/>
      <c r="PPS1" s="110"/>
      <c r="PPT1" s="110"/>
      <c r="PPU1" s="110"/>
      <c r="PPV1" s="110"/>
      <c r="PPW1" s="110"/>
      <c r="PPX1" s="110"/>
      <c r="PPY1" s="110"/>
      <c r="PPZ1" s="110"/>
      <c r="PQA1" s="110"/>
      <c r="PQB1" s="110"/>
      <c r="PQC1" s="110"/>
      <c r="PQD1" s="110"/>
      <c r="PQE1" s="110"/>
      <c r="PQF1" s="110"/>
      <c r="PQG1" s="110"/>
      <c r="PQH1" s="110"/>
      <c r="PQI1" s="110"/>
      <c r="PQJ1" s="110"/>
      <c r="PQK1" s="110"/>
      <c r="PQL1" s="110"/>
      <c r="PQM1" s="110"/>
      <c r="PQN1" s="110"/>
      <c r="PQO1" s="110"/>
      <c r="PQP1" s="110"/>
      <c r="PQQ1" s="110"/>
      <c r="PQR1" s="110"/>
      <c r="PQS1" s="110"/>
      <c r="PQT1" s="110"/>
      <c r="PQU1" s="110"/>
      <c r="PQV1" s="110"/>
      <c r="PQW1" s="110"/>
      <c r="PQX1" s="110"/>
      <c r="PQY1" s="110"/>
      <c r="PQZ1" s="110"/>
      <c r="PRA1" s="110"/>
      <c r="PRB1" s="110"/>
      <c r="PRC1" s="110"/>
      <c r="PRD1" s="110"/>
      <c r="PRE1" s="110"/>
      <c r="PRF1" s="110"/>
      <c r="PRG1" s="110"/>
      <c r="PRH1" s="110"/>
      <c r="PRI1" s="110"/>
      <c r="PRJ1" s="110"/>
      <c r="PRK1" s="110"/>
      <c r="PRL1" s="110"/>
      <c r="PRM1" s="110"/>
      <c r="PRN1" s="110"/>
      <c r="PRO1" s="110"/>
      <c r="PRP1" s="110"/>
      <c r="PRQ1" s="110"/>
      <c r="PRR1" s="110"/>
      <c r="PRS1" s="110"/>
      <c r="PRT1" s="110"/>
      <c r="PRU1" s="110"/>
      <c r="PRV1" s="110"/>
      <c r="PRW1" s="110"/>
      <c r="PRX1" s="110"/>
      <c r="PRY1" s="110"/>
      <c r="PRZ1" s="110"/>
      <c r="PSA1" s="110"/>
      <c r="PSB1" s="110"/>
      <c r="PSC1" s="110"/>
      <c r="PSD1" s="110"/>
      <c r="PSE1" s="110"/>
      <c r="PSF1" s="110"/>
      <c r="PSG1" s="110"/>
      <c r="PSH1" s="110"/>
      <c r="PSI1" s="110"/>
      <c r="PSJ1" s="110"/>
      <c r="PSK1" s="110"/>
      <c r="PSL1" s="110"/>
      <c r="PSM1" s="110"/>
      <c r="PSN1" s="110"/>
      <c r="PSO1" s="110"/>
      <c r="PSP1" s="110"/>
      <c r="PSQ1" s="110"/>
      <c r="PSR1" s="110"/>
      <c r="PSS1" s="110"/>
      <c r="PST1" s="110"/>
      <c r="PSU1" s="110"/>
      <c r="PSV1" s="110"/>
      <c r="PSW1" s="110"/>
      <c r="PSX1" s="110"/>
      <c r="PSY1" s="110"/>
      <c r="PSZ1" s="110"/>
      <c r="PTA1" s="110"/>
      <c r="PTB1" s="110"/>
      <c r="PTC1" s="110"/>
      <c r="PTD1" s="110"/>
      <c r="PTE1" s="110"/>
      <c r="PTF1" s="110"/>
      <c r="PTG1" s="110"/>
      <c r="PTH1" s="110"/>
      <c r="PTI1" s="110"/>
      <c r="PTJ1" s="110"/>
      <c r="PTK1" s="110"/>
      <c r="PTL1" s="110"/>
      <c r="PTM1" s="110"/>
      <c r="PTN1" s="110"/>
      <c r="PTO1" s="110"/>
      <c r="PTP1" s="110"/>
      <c r="PTQ1" s="110"/>
      <c r="PTR1" s="110"/>
      <c r="PTS1" s="110"/>
      <c r="PTT1" s="110"/>
      <c r="PTU1" s="110"/>
      <c r="PTV1" s="110"/>
      <c r="PTW1" s="110"/>
      <c r="PTX1" s="110"/>
      <c r="PTY1" s="110"/>
      <c r="PTZ1" s="110"/>
      <c r="PUA1" s="110"/>
      <c r="PUB1" s="110"/>
      <c r="PUC1" s="110"/>
      <c r="PUD1" s="110"/>
      <c r="PUE1" s="110"/>
      <c r="PUF1" s="110"/>
      <c r="PUG1" s="110"/>
      <c r="PUH1" s="110"/>
      <c r="PUI1" s="110"/>
      <c r="PUJ1" s="110"/>
      <c r="PUK1" s="110"/>
      <c r="PUL1" s="110"/>
      <c r="PUM1" s="110"/>
      <c r="PUN1" s="110"/>
      <c r="PUO1" s="110"/>
      <c r="PUP1" s="110"/>
      <c r="PUQ1" s="110"/>
      <c r="PUR1" s="110"/>
      <c r="PUS1" s="110"/>
      <c r="PUT1" s="110"/>
      <c r="PUU1" s="110"/>
      <c r="PUV1" s="110"/>
      <c r="PUW1" s="110"/>
      <c r="PUX1" s="110"/>
      <c r="PUY1" s="110"/>
      <c r="PUZ1" s="110"/>
      <c r="PVA1" s="110"/>
      <c r="PVB1" s="110"/>
      <c r="PVC1" s="110"/>
      <c r="PVD1" s="110"/>
      <c r="PVE1" s="110"/>
      <c r="PVF1" s="110"/>
      <c r="PVG1" s="110"/>
      <c r="PVH1" s="110"/>
      <c r="PVI1" s="110"/>
      <c r="PVJ1" s="110"/>
      <c r="PVK1" s="110"/>
      <c r="PVL1" s="110"/>
      <c r="PVM1" s="110"/>
      <c r="PVN1" s="110"/>
      <c r="PVO1" s="110"/>
      <c r="PVP1" s="110"/>
      <c r="PVQ1" s="110"/>
      <c r="PVR1" s="110"/>
      <c r="PVS1" s="110"/>
      <c r="PVT1" s="110"/>
      <c r="PVU1" s="110"/>
      <c r="PVV1" s="110"/>
      <c r="PVW1" s="110"/>
      <c r="PVX1" s="110"/>
      <c r="PVY1" s="110"/>
      <c r="PVZ1" s="110"/>
      <c r="PWA1" s="110"/>
      <c r="PWB1" s="110"/>
      <c r="PWC1" s="110"/>
      <c r="PWD1" s="110"/>
      <c r="PWE1" s="110"/>
      <c r="PWF1" s="110"/>
      <c r="PWG1" s="110"/>
      <c r="PWH1" s="110"/>
      <c r="PWI1" s="110"/>
      <c r="PWJ1" s="110"/>
      <c r="PWK1" s="110"/>
      <c r="PWL1" s="110"/>
      <c r="PWM1" s="110"/>
      <c r="PWN1" s="110"/>
      <c r="PWO1" s="110"/>
      <c r="PWP1" s="110"/>
      <c r="PWQ1" s="110"/>
      <c r="PWR1" s="110"/>
      <c r="PWS1" s="110"/>
      <c r="PWT1" s="110"/>
      <c r="PWU1" s="110"/>
      <c r="PWV1" s="110"/>
      <c r="PWW1" s="110"/>
      <c r="PWX1" s="110"/>
      <c r="PWY1" s="110"/>
      <c r="PWZ1" s="110"/>
      <c r="PXA1" s="110"/>
      <c r="PXB1" s="110"/>
      <c r="PXC1" s="110"/>
      <c r="PXD1" s="110"/>
      <c r="PXE1" s="110"/>
      <c r="PXF1" s="110"/>
      <c r="PXG1" s="110"/>
      <c r="PXH1" s="110"/>
      <c r="PXI1" s="110"/>
      <c r="PXJ1" s="110"/>
      <c r="PXK1" s="110"/>
      <c r="PXL1" s="110"/>
      <c r="PXM1" s="110"/>
      <c r="PXN1" s="110"/>
      <c r="PXO1" s="110"/>
      <c r="PXP1" s="110"/>
      <c r="PXQ1" s="110"/>
      <c r="PXR1" s="110"/>
      <c r="PXS1" s="110"/>
      <c r="PXT1" s="110"/>
      <c r="PXU1" s="110"/>
      <c r="PXV1" s="110"/>
      <c r="PXW1" s="110"/>
      <c r="PXX1" s="110"/>
      <c r="PXY1" s="110"/>
      <c r="PXZ1" s="110"/>
      <c r="PYA1" s="110"/>
      <c r="PYB1" s="110"/>
      <c r="PYC1" s="110"/>
      <c r="PYD1" s="110"/>
      <c r="PYE1" s="110"/>
      <c r="PYF1" s="110"/>
      <c r="PYG1" s="110"/>
      <c r="PYH1" s="110"/>
      <c r="PYI1" s="110"/>
      <c r="PYJ1" s="110"/>
      <c r="PYK1" s="110"/>
      <c r="PYL1" s="110"/>
      <c r="PYM1" s="110"/>
      <c r="PYN1" s="110"/>
      <c r="PYO1" s="110"/>
      <c r="PYP1" s="110"/>
      <c r="PYQ1" s="110"/>
      <c r="PYR1" s="110"/>
      <c r="PYS1" s="110"/>
      <c r="PYT1" s="110"/>
      <c r="PYU1" s="110"/>
      <c r="PYV1" s="110"/>
      <c r="PYW1" s="110"/>
      <c r="PYX1" s="110"/>
      <c r="PYY1" s="110"/>
      <c r="PYZ1" s="110"/>
      <c r="PZA1" s="110"/>
      <c r="PZB1" s="110"/>
      <c r="PZC1" s="110"/>
      <c r="PZD1" s="110"/>
      <c r="PZE1" s="110"/>
      <c r="PZF1" s="110"/>
      <c r="PZG1" s="110"/>
      <c r="PZH1" s="110"/>
      <c r="PZI1" s="110"/>
      <c r="PZJ1" s="110"/>
      <c r="PZK1" s="110"/>
      <c r="PZL1" s="110"/>
      <c r="PZM1" s="110"/>
      <c r="PZN1" s="110"/>
      <c r="PZO1" s="110"/>
      <c r="PZP1" s="110"/>
      <c r="PZQ1" s="110"/>
      <c r="PZR1" s="110"/>
      <c r="PZS1" s="110"/>
      <c r="PZT1" s="110"/>
      <c r="PZU1" s="110"/>
      <c r="PZV1" s="110"/>
      <c r="PZW1" s="110"/>
      <c r="PZX1" s="110"/>
      <c r="PZY1" s="110"/>
      <c r="PZZ1" s="110"/>
      <c r="QAA1" s="110"/>
      <c r="QAB1" s="110"/>
      <c r="QAC1" s="110"/>
      <c r="QAD1" s="110"/>
      <c r="QAE1" s="110"/>
      <c r="QAF1" s="110"/>
      <c r="QAG1" s="110"/>
      <c r="QAH1" s="110"/>
      <c r="QAI1" s="110"/>
      <c r="QAJ1" s="110"/>
      <c r="QAK1" s="110"/>
      <c r="QAL1" s="110"/>
      <c r="QAM1" s="110"/>
      <c r="QAN1" s="110"/>
      <c r="QAO1" s="110"/>
      <c r="QAP1" s="110"/>
      <c r="QAQ1" s="110"/>
      <c r="QAR1" s="110"/>
      <c r="QAS1" s="110"/>
      <c r="QAT1" s="110"/>
      <c r="QAU1" s="110"/>
      <c r="QAV1" s="110"/>
      <c r="QAW1" s="110"/>
      <c r="QAX1" s="110"/>
      <c r="QAY1" s="110"/>
      <c r="QAZ1" s="110"/>
      <c r="QBA1" s="110"/>
      <c r="QBB1" s="110"/>
      <c r="QBC1" s="110"/>
      <c r="QBD1" s="110"/>
      <c r="QBE1" s="110"/>
      <c r="QBF1" s="110"/>
      <c r="QBG1" s="110"/>
      <c r="QBH1" s="110"/>
      <c r="QBI1" s="110"/>
      <c r="QBJ1" s="110"/>
      <c r="QBK1" s="110"/>
      <c r="QBL1" s="110"/>
      <c r="QBM1" s="110"/>
      <c r="QBN1" s="110"/>
      <c r="QBO1" s="110"/>
      <c r="QBP1" s="110"/>
      <c r="QBQ1" s="110"/>
      <c r="QBR1" s="110"/>
      <c r="QBS1" s="110"/>
      <c r="QBT1" s="110"/>
      <c r="QBU1" s="110"/>
      <c r="QBV1" s="110"/>
      <c r="QBW1" s="110"/>
      <c r="QBX1" s="110"/>
      <c r="QBY1" s="110"/>
      <c r="QBZ1" s="110"/>
      <c r="QCA1" s="110"/>
      <c r="QCB1" s="110"/>
      <c r="QCC1" s="110"/>
      <c r="QCD1" s="110"/>
      <c r="QCE1" s="110"/>
      <c r="QCF1" s="110"/>
      <c r="QCG1" s="110"/>
      <c r="QCH1" s="110"/>
      <c r="QCI1" s="110"/>
      <c r="QCJ1" s="110"/>
      <c r="QCK1" s="110"/>
      <c r="QCL1" s="110"/>
      <c r="QCM1" s="110"/>
      <c r="QCN1" s="110"/>
      <c r="QCO1" s="110"/>
      <c r="QCP1" s="110"/>
      <c r="QCQ1" s="110"/>
      <c r="QCR1" s="110"/>
      <c r="QCS1" s="110"/>
      <c r="QCT1" s="110"/>
      <c r="QCU1" s="110"/>
      <c r="QCV1" s="110"/>
      <c r="QCW1" s="110"/>
      <c r="QCX1" s="110"/>
      <c r="QCY1" s="110"/>
      <c r="QCZ1" s="110"/>
      <c r="QDA1" s="110"/>
      <c r="QDB1" s="110"/>
      <c r="QDC1" s="110"/>
      <c r="QDD1" s="110"/>
      <c r="QDE1" s="110"/>
      <c r="QDF1" s="110"/>
      <c r="QDG1" s="110"/>
      <c r="QDH1" s="110"/>
      <c r="QDI1" s="110"/>
      <c r="QDJ1" s="110"/>
      <c r="QDK1" s="110"/>
      <c r="QDL1" s="110"/>
      <c r="QDM1" s="110"/>
      <c r="QDN1" s="110"/>
      <c r="QDO1" s="110"/>
      <c r="QDP1" s="110"/>
      <c r="QDQ1" s="110"/>
      <c r="QDR1" s="110"/>
      <c r="QDS1" s="110"/>
      <c r="QDT1" s="110"/>
      <c r="QDU1" s="110"/>
      <c r="QDV1" s="110"/>
      <c r="QDW1" s="110"/>
      <c r="QDX1" s="110"/>
      <c r="QDY1" s="110"/>
      <c r="QDZ1" s="110"/>
      <c r="QEA1" s="110"/>
      <c r="QEB1" s="110"/>
      <c r="QEC1" s="110"/>
      <c r="QED1" s="110"/>
      <c r="QEE1" s="110"/>
      <c r="QEF1" s="110"/>
      <c r="QEG1" s="110"/>
      <c r="QEH1" s="110"/>
      <c r="QEI1" s="110"/>
      <c r="QEJ1" s="110"/>
      <c r="QEK1" s="110"/>
      <c r="QEL1" s="110"/>
      <c r="QEM1" s="110"/>
      <c r="QEN1" s="110"/>
      <c r="QEO1" s="110"/>
      <c r="QEP1" s="110"/>
      <c r="QEQ1" s="110"/>
      <c r="QER1" s="110"/>
      <c r="QES1" s="110"/>
      <c r="QET1" s="110"/>
      <c r="QEU1" s="110"/>
      <c r="QEV1" s="110"/>
      <c r="QEW1" s="110"/>
      <c r="QEX1" s="110"/>
      <c r="QEY1" s="110"/>
      <c r="QEZ1" s="110"/>
      <c r="QFA1" s="110"/>
      <c r="QFB1" s="110"/>
      <c r="QFC1" s="110"/>
      <c r="QFD1" s="110"/>
      <c r="QFE1" s="110"/>
      <c r="QFF1" s="110"/>
      <c r="QFG1" s="110"/>
      <c r="QFH1" s="110"/>
      <c r="QFI1" s="110"/>
      <c r="QFJ1" s="110"/>
      <c r="QFK1" s="110"/>
      <c r="QFL1" s="110"/>
      <c r="QFM1" s="110"/>
      <c r="QFN1" s="110"/>
      <c r="QFO1" s="110"/>
      <c r="QFP1" s="110"/>
      <c r="QFQ1" s="110"/>
      <c r="QFR1" s="110"/>
      <c r="QFS1" s="110"/>
      <c r="QFT1" s="110"/>
      <c r="QFU1" s="110"/>
      <c r="QFV1" s="110"/>
      <c r="QFW1" s="110"/>
      <c r="QFX1" s="110"/>
      <c r="QFY1" s="110"/>
      <c r="QFZ1" s="110"/>
      <c r="QGA1" s="110"/>
      <c r="QGB1" s="110"/>
      <c r="QGC1" s="110"/>
      <c r="QGD1" s="110"/>
      <c r="QGE1" s="110"/>
      <c r="QGF1" s="110"/>
      <c r="QGG1" s="110"/>
      <c r="QGH1" s="110"/>
      <c r="QGI1" s="110"/>
      <c r="QGJ1" s="110"/>
      <c r="QGK1" s="110"/>
      <c r="QGL1" s="110"/>
      <c r="QGM1" s="110"/>
      <c r="QGN1" s="110"/>
      <c r="QGO1" s="110"/>
      <c r="QGP1" s="110"/>
      <c r="QGQ1" s="110"/>
      <c r="QGR1" s="110"/>
      <c r="QGS1" s="110"/>
      <c r="QGT1" s="110"/>
      <c r="QGU1" s="110"/>
      <c r="QGV1" s="110"/>
      <c r="QGW1" s="110"/>
      <c r="QGX1" s="110"/>
      <c r="QGY1" s="110"/>
      <c r="QGZ1" s="110"/>
      <c r="QHA1" s="110"/>
      <c r="QHB1" s="110"/>
      <c r="QHC1" s="110"/>
      <c r="QHD1" s="110"/>
      <c r="QHE1" s="110"/>
      <c r="QHF1" s="110"/>
      <c r="QHG1" s="110"/>
      <c r="QHH1" s="110"/>
      <c r="QHI1" s="110"/>
      <c r="QHJ1" s="110"/>
      <c r="QHK1" s="110"/>
      <c r="QHL1" s="110"/>
      <c r="QHM1" s="110"/>
      <c r="QHN1" s="110"/>
      <c r="QHO1" s="110"/>
      <c r="QHP1" s="110"/>
      <c r="QHQ1" s="110"/>
      <c r="QHR1" s="110"/>
      <c r="QHS1" s="110"/>
      <c r="QHT1" s="110"/>
      <c r="QHU1" s="110"/>
      <c r="QHV1" s="110"/>
      <c r="QHW1" s="110"/>
      <c r="QHX1" s="110"/>
      <c r="QHY1" s="110"/>
      <c r="QHZ1" s="110"/>
      <c r="QIA1" s="110"/>
      <c r="QIB1" s="110"/>
      <c r="QIC1" s="110"/>
      <c r="QID1" s="110"/>
      <c r="QIE1" s="110"/>
      <c r="QIF1" s="110"/>
      <c r="QIG1" s="110"/>
      <c r="QIH1" s="110"/>
      <c r="QII1" s="110"/>
      <c r="QIJ1" s="110"/>
      <c r="QIK1" s="110"/>
      <c r="QIL1" s="110"/>
      <c r="QIM1" s="110"/>
      <c r="QIN1" s="110"/>
      <c r="QIO1" s="110"/>
      <c r="QIP1" s="110"/>
      <c r="QIQ1" s="110"/>
      <c r="QIR1" s="110"/>
      <c r="QIS1" s="110"/>
      <c r="QIT1" s="110"/>
      <c r="QIU1" s="110"/>
      <c r="QIV1" s="110"/>
      <c r="QIW1" s="110"/>
      <c r="QIX1" s="110"/>
      <c r="QIY1" s="110"/>
      <c r="QIZ1" s="110"/>
      <c r="QJA1" s="110"/>
      <c r="QJB1" s="110"/>
      <c r="QJC1" s="110"/>
      <c r="QJD1" s="110"/>
      <c r="QJE1" s="110"/>
      <c r="QJF1" s="110"/>
      <c r="QJG1" s="110"/>
      <c r="QJH1" s="110"/>
      <c r="QJI1" s="110"/>
      <c r="QJJ1" s="110"/>
      <c r="QJK1" s="110"/>
      <c r="QJL1" s="110"/>
      <c r="QJM1" s="110"/>
      <c r="QJN1" s="110"/>
      <c r="QJO1" s="110"/>
      <c r="QJP1" s="110"/>
      <c r="QJQ1" s="110"/>
      <c r="QJR1" s="110"/>
      <c r="QJS1" s="110"/>
      <c r="QJT1" s="110"/>
      <c r="QJU1" s="110"/>
      <c r="QJV1" s="110"/>
      <c r="QJW1" s="110"/>
      <c r="QJX1" s="110"/>
      <c r="QJY1" s="110"/>
      <c r="QJZ1" s="110"/>
      <c r="QKA1" s="110"/>
      <c r="QKB1" s="110"/>
      <c r="QKC1" s="110"/>
      <c r="QKD1" s="110"/>
      <c r="QKE1" s="110"/>
      <c r="QKF1" s="110"/>
      <c r="QKG1" s="110"/>
      <c r="QKH1" s="110"/>
      <c r="QKI1" s="110"/>
      <c r="QKJ1" s="110"/>
      <c r="QKK1" s="110"/>
      <c r="QKL1" s="110"/>
      <c r="QKM1" s="110"/>
      <c r="QKN1" s="110"/>
      <c r="QKO1" s="110"/>
      <c r="QKP1" s="110"/>
      <c r="QKQ1" s="110"/>
      <c r="QKR1" s="110"/>
      <c r="QKS1" s="110"/>
      <c r="QKT1" s="110"/>
      <c r="QKU1" s="110"/>
      <c r="QKV1" s="110"/>
      <c r="QKW1" s="110"/>
      <c r="QKX1" s="110"/>
      <c r="QKY1" s="110"/>
      <c r="QKZ1" s="110"/>
      <c r="QLA1" s="110"/>
      <c r="QLB1" s="110"/>
      <c r="QLC1" s="110"/>
      <c r="QLD1" s="110"/>
      <c r="QLE1" s="110"/>
      <c r="QLF1" s="110"/>
      <c r="QLG1" s="110"/>
      <c r="QLH1" s="110"/>
      <c r="QLI1" s="110"/>
      <c r="QLJ1" s="110"/>
      <c r="QLK1" s="110"/>
      <c r="QLL1" s="110"/>
      <c r="QLM1" s="110"/>
      <c r="QLN1" s="110"/>
      <c r="QLO1" s="110"/>
      <c r="QLP1" s="110"/>
      <c r="QLQ1" s="110"/>
      <c r="QLR1" s="110"/>
      <c r="QLS1" s="110"/>
      <c r="QLT1" s="110"/>
      <c r="QLU1" s="110"/>
      <c r="QLV1" s="110"/>
      <c r="QLW1" s="110"/>
      <c r="QLX1" s="110"/>
      <c r="QLY1" s="110"/>
      <c r="QLZ1" s="110"/>
      <c r="QMA1" s="110"/>
      <c r="QMB1" s="110"/>
      <c r="QMC1" s="110"/>
      <c r="QMD1" s="110"/>
      <c r="QME1" s="110"/>
      <c r="QMF1" s="110"/>
      <c r="QMG1" s="110"/>
      <c r="QMH1" s="110"/>
      <c r="QMI1" s="110"/>
      <c r="QMJ1" s="110"/>
      <c r="QMK1" s="110"/>
      <c r="QML1" s="110"/>
      <c r="QMM1" s="110"/>
      <c r="QMN1" s="110"/>
      <c r="QMO1" s="110"/>
      <c r="QMP1" s="110"/>
      <c r="QMQ1" s="110"/>
      <c r="QMR1" s="110"/>
      <c r="QMS1" s="110"/>
      <c r="QMT1" s="110"/>
      <c r="QMU1" s="110"/>
      <c r="QMV1" s="110"/>
      <c r="QMW1" s="110"/>
      <c r="QMX1" s="110"/>
      <c r="QMY1" s="110"/>
      <c r="QMZ1" s="110"/>
      <c r="QNA1" s="110"/>
      <c r="QNB1" s="110"/>
      <c r="QNC1" s="110"/>
      <c r="QND1" s="110"/>
      <c r="QNE1" s="110"/>
      <c r="QNF1" s="110"/>
      <c r="QNG1" s="110"/>
      <c r="QNH1" s="110"/>
      <c r="QNI1" s="110"/>
      <c r="QNJ1" s="110"/>
      <c r="QNK1" s="110"/>
      <c r="QNL1" s="110"/>
      <c r="QNM1" s="110"/>
      <c r="QNN1" s="110"/>
      <c r="QNO1" s="110"/>
      <c r="QNP1" s="110"/>
      <c r="QNQ1" s="110"/>
      <c r="QNR1" s="110"/>
      <c r="QNS1" s="110"/>
      <c r="QNT1" s="110"/>
      <c r="QNU1" s="110"/>
      <c r="QNV1" s="110"/>
      <c r="QNW1" s="110"/>
      <c r="QNX1" s="110"/>
      <c r="QNY1" s="110"/>
      <c r="QNZ1" s="110"/>
      <c r="QOA1" s="110"/>
      <c r="QOB1" s="110"/>
      <c r="QOC1" s="110"/>
      <c r="QOD1" s="110"/>
      <c r="QOE1" s="110"/>
      <c r="QOF1" s="110"/>
      <c r="QOG1" s="110"/>
      <c r="QOH1" s="110"/>
      <c r="QOI1" s="110"/>
      <c r="QOJ1" s="110"/>
      <c r="QOK1" s="110"/>
      <c r="QOL1" s="110"/>
      <c r="QOM1" s="110"/>
      <c r="QON1" s="110"/>
      <c r="QOO1" s="110"/>
      <c r="QOP1" s="110"/>
      <c r="QOQ1" s="110"/>
      <c r="QOR1" s="110"/>
      <c r="QOS1" s="110"/>
      <c r="QOT1" s="110"/>
      <c r="QOU1" s="110"/>
      <c r="QOV1" s="110"/>
      <c r="QOW1" s="110"/>
      <c r="QOX1" s="110"/>
      <c r="QOY1" s="110"/>
      <c r="QOZ1" s="110"/>
      <c r="QPA1" s="110"/>
      <c r="QPB1" s="110"/>
      <c r="QPC1" s="110"/>
      <c r="QPD1" s="110"/>
      <c r="QPE1" s="110"/>
      <c r="QPF1" s="110"/>
      <c r="QPG1" s="110"/>
      <c r="QPH1" s="110"/>
      <c r="QPI1" s="110"/>
      <c r="QPJ1" s="110"/>
      <c r="QPK1" s="110"/>
      <c r="QPL1" s="110"/>
      <c r="QPM1" s="110"/>
      <c r="QPN1" s="110"/>
      <c r="QPO1" s="110"/>
      <c r="QPP1" s="110"/>
      <c r="QPQ1" s="110"/>
      <c r="QPR1" s="110"/>
      <c r="QPS1" s="110"/>
      <c r="QPT1" s="110"/>
      <c r="QPU1" s="110"/>
      <c r="QPV1" s="110"/>
      <c r="QPW1" s="110"/>
      <c r="QPX1" s="110"/>
      <c r="QPY1" s="110"/>
      <c r="QPZ1" s="110"/>
      <c r="QQA1" s="110"/>
      <c r="QQB1" s="110"/>
      <c r="QQC1" s="110"/>
      <c r="QQD1" s="110"/>
      <c r="QQE1" s="110"/>
      <c r="QQF1" s="110"/>
      <c r="QQG1" s="110"/>
      <c r="QQH1" s="110"/>
      <c r="QQI1" s="110"/>
      <c r="QQJ1" s="110"/>
      <c r="QQK1" s="110"/>
      <c r="QQL1" s="110"/>
      <c r="QQM1" s="110"/>
      <c r="QQN1" s="110"/>
      <c r="QQO1" s="110"/>
      <c r="QQP1" s="110"/>
      <c r="QQQ1" s="110"/>
      <c r="QQR1" s="110"/>
      <c r="QQS1" s="110"/>
      <c r="QQT1" s="110"/>
      <c r="QQU1" s="110"/>
      <c r="QQV1" s="110"/>
      <c r="QQW1" s="110"/>
      <c r="QQX1" s="110"/>
      <c r="QQY1" s="110"/>
      <c r="QQZ1" s="110"/>
      <c r="QRA1" s="110"/>
      <c r="QRB1" s="110"/>
      <c r="QRC1" s="110"/>
      <c r="QRD1" s="110"/>
      <c r="QRE1" s="110"/>
      <c r="QRF1" s="110"/>
      <c r="QRG1" s="110"/>
      <c r="QRH1" s="110"/>
      <c r="QRI1" s="110"/>
      <c r="QRJ1" s="110"/>
      <c r="QRK1" s="110"/>
      <c r="QRL1" s="110"/>
      <c r="QRM1" s="110"/>
      <c r="QRN1" s="110"/>
      <c r="QRO1" s="110"/>
      <c r="QRP1" s="110"/>
      <c r="QRQ1" s="110"/>
      <c r="QRR1" s="110"/>
      <c r="QRS1" s="110"/>
      <c r="QRT1" s="110"/>
      <c r="QRU1" s="110"/>
      <c r="QRV1" s="110"/>
      <c r="QRW1" s="110"/>
      <c r="QRX1" s="110"/>
      <c r="QRY1" s="110"/>
      <c r="QRZ1" s="110"/>
      <c r="QSA1" s="110"/>
      <c r="QSB1" s="110"/>
      <c r="QSC1" s="110"/>
      <c r="QSD1" s="110"/>
      <c r="QSE1" s="110"/>
      <c r="QSF1" s="110"/>
      <c r="QSG1" s="110"/>
      <c r="QSH1" s="110"/>
      <c r="QSI1" s="110"/>
      <c r="QSJ1" s="110"/>
      <c r="QSK1" s="110"/>
      <c r="QSL1" s="110"/>
      <c r="QSM1" s="110"/>
      <c r="QSN1" s="110"/>
      <c r="QSO1" s="110"/>
      <c r="QSP1" s="110"/>
      <c r="QSQ1" s="110"/>
      <c r="QSR1" s="110"/>
      <c r="QSS1" s="110"/>
      <c r="QST1" s="110"/>
      <c r="QSU1" s="110"/>
      <c r="QSV1" s="110"/>
      <c r="QSW1" s="110"/>
      <c r="QSX1" s="110"/>
      <c r="QSY1" s="110"/>
      <c r="QSZ1" s="110"/>
      <c r="QTA1" s="110"/>
      <c r="QTB1" s="110"/>
      <c r="QTC1" s="110"/>
      <c r="QTD1" s="110"/>
      <c r="QTE1" s="110"/>
      <c r="QTF1" s="110"/>
      <c r="QTG1" s="110"/>
      <c r="QTH1" s="110"/>
      <c r="QTI1" s="110"/>
      <c r="QTJ1" s="110"/>
      <c r="QTK1" s="110"/>
      <c r="QTL1" s="110"/>
      <c r="QTM1" s="110"/>
      <c r="QTN1" s="110"/>
      <c r="QTO1" s="110"/>
      <c r="QTP1" s="110"/>
      <c r="QTQ1" s="110"/>
      <c r="QTR1" s="110"/>
      <c r="QTS1" s="110"/>
      <c r="QTT1" s="110"/>
      <c r="QTU1" s="110"/>
      <c r="QTV1" s="110"/>
      <c r="QTW1" s="110"/>
      <c r="QTX1" s="110"/>
      <c r="QTY1" s="110"/>
      <c r="QTZ1" s="110"/>
      <c r="QUA1" s="110"/>
      <c r="QUB1" s="110"/>
      <c r="QUC1" s="110"/>
      <c r="QUD1" s="110"/>
      <c r="QUE1" s="110"/>
      <c r="QUF1" s="110"/>
      <c r="QUG1" s="110"/>
      <c r="QUH1" s="110"/>
      <c r="QUI1" s="110"/>
      <c r="QUJ1" s="110"/>
      <c r="QUK1" s="110"/>
      <c r="QUL1" s="110"/>
      <c r="QUM1" s="110"/>
      <c r="QUN1" s="110"/>
      <c r="QUO1" s="110"/>
      <c r="QUP1" s="110"/>
      <c r="QUQ1" s="110"/>
      <c r="QUR1" s="110"/>
      <c r="QUS1" s="110"/>
      <c r="QUT1" s="110"/>
      <c r="QUU1" s="110"/>
      <c r="QUV1" s="110"/>
      <c r="QUW1" s="110"/>
      <c r="QUX1" s="110"/>
      <c r="QUY1" s="110"/>
      <c r="QUZ1" s="110"/>
      <c r="QVA1" s="110"/>
      <c r="QVB1" s="110"/>
      <c r="QVC1" s="110"/>
      <c r="QVD1" s="110"/>
      <c r="QVE1" s="110"/>
      <c r="QVF1" s="110"/>
      <c r="QVG1" s="110"/>
      <c r="QVH1" s="110"/>
      <c r="QVI1" s="110"/>
      <c r="QVJ1" s="110"/>
      <c r="QVK1" s="110"/>
      <c r="QVL1" s="110"/>
      <c r="QVM1" s="110"/>
      <c r="QVN1" s="110"/>
      <c r="QVO1" s="110"/>
      <c r="QVP1" s="110"/>
      <c r="QVQ1" s="110"/>
      <c r="QVR1" s="110"/>
      <c r="QVS1" s="110"/>
      <c r="QVT1" s="110"/>
      <c r="QVU1" s="110"/>
      <c r="QVV1" s="110"/>
      <c r="QVW1" s="110"/>
      <c r="QVX1" s="110"/>
      <c r="QVY1" s="110"/>
      <c r="QVZ1" s="110"/>
      <c r="QWA1" s="110"/>
      <c r="QWB1" s="110"/>
      <c r="QWC1" s="110"/>
      <c r="QWD1" s="110"/>
      <c r="QWE1" s="110"/>
      <c r="QWF1" s="110"/>
      <c r="QWG1" s="110"/>
      <c r="QWH1" s="110"/>
      <c r="QWI1" s="110"/>
      <c r="QWJ1" s="110"/>
      <c r="QWK1" s="110"/>
      <c r="QWL1" s="110"/>
      <c r="QWM1" s="110"/>
      <c r="QWN1" s="110"/>
      <c r="QWO1" s="110"/>
      <c r="QWP1" s="110"/>
      <c r="QWQ1" s="110"/>
      <c r="QWR1" s="110"/>
      <c r="QWS1" s="110"/>
      <c r="QWT1" s="110"/>
      <c r="QWU1" s="110"/>
      <c r="QWV1" s="110"/>
      <c r="QWW1" s="110"/>
      <c r="QWX1" s="110"/>
      <c r="QWY1" s="110"/>
      <c r="QWZ1" s="110"/>
      <c r="QXA1" s="110"/>
      <c r="QXB1" s="110"/>
      <c r="QXC1" s="110"/>
      <c r="QXD1" s="110"/>
      <c r="QXE1" s="110"/>
      <c r="QXF1" s="110"/>
      <c r="QXG1" s="110"/>
      <c r="QXH1" s="110"/>
      <c r="QXI1" s="110"/>
      <c r="QXJ1" s="110"/>
      <c r="QXK1" s="110"/>
      <c r="QXL1" s="110"/>
      <c r="QXM1" s="110"/>
      <c r="QXN1" s="110"/>
      <c r="QXO1" s="110"/>
      <c r="QXP1" s="110"/>
      <c r="QXQ1" s="110"/>
      <c r="QXR1" s="110"/>
      <c r="QXS1" s="110"/>
      <c r="QXT1" s="110"/>
      <c r="QXU1" s="110"/>
      <c r="QXV1" s="110"/>
      <c r="QXW1" s="110"/>
      <c r="QXX1" s="110"/>
      <c r="QXY1" s="110"/>
      <c r="QXZ1" s="110"/>
      <c r="QYA1" s="110"/>
      <c r="QYB1" s="110"/>
      <c r="QYC1" s="110"/>
      <c r="QYD1" s="110"/>
      <c r="QYE1" s="110"/>
      <c r="QYF1" s="110"/>
      <c r="QYG1" s="110"/>
      <c r="QYH1" s="110"/>
      <c r="QYI1" s="110"/>
      <c r="QYJ1" s="110"/>
      <c r="QYK1" s="110"/>
      <c r="QYL1" s="110"/>
      <c r="QYM1" s="110"/>
      <c r="QYN1" s="110"/>
      <c r="QYO1" s="110"/>
      <c r="QYP1" s="110"/>
      <c r="QYQ1" s="110"/>
      <c r="QYR1" s="110"/>
      <c r="QYS1" s="110"/>
      <c r="QYT1" s="110"/>
      <c r="QYU1" s="110"/>
      <c r="QYV1" s="110"/>
      <c r="QYW1" s="110"/>
      <c r="QYX1" s="110"/>
      <c r="QYY1" s="110"/>
      <c r="QYZ1" s="110"/>
      <c r="QZA1" s="110"/>
      <c r="QZB1" s="110"/>
      <c r="QZC1" s="110"/>
      <c r="QZD1" s="110"/>
      <c r="QZE1" s="110"/>
      <c r="QZF1" s="110"/>
      <c r="QZG1" s="110"/>
      <c r="QZH1" s="110"/>
      <c r="QZI1" s="110"/>
      <c r="QZJ1" s="110"/>
      <c r="QZK1" s="110"/>
      <c r="QZL1" s="110"/>
      <c r="QZM1" s="110"/>
      <c r="QZN1" s="110"/>
      <c r="QZO1" s="110"/>
      <c r="QZP1" s="110"/>
      <c r="QZQ1" s="110"/>
      <c r="QZR1" s="110"/>
      <c r="QZS1" s="110"/>
      <c r="QZT1" s="110"/>
      <c r="QZU1" s="110"/>
      <c r="QZV1" s="110"/>
      <c r="QZW1" s="110"/>
      <c r="QZX1" s="110"/>
      <c r="QZY1" s="110"/>
      <c r="QZZ1" s="110"/>
      <c r="RAA1" s="110"/>
      <c r="RAB1" s="110"/>
      <c r="RAC1" s="110"/>
      <c r="RAD1" s="110"/>
      <c r="RAE1" s="110"/>
      <c r="RAF1" s="110"/>
      <c r="RAG1" s="110"/>
      <c r="RAH1" s="110"/>
      <c r="RAI1" s="110"/>
      <c r="RAJ1" s="110"/>
      <c r="RAK1" s="110"/>
      <c r="RAL1" s="110"/>
      <c r="RAM1" s="110"/>
      <c r="RAN1" s="110"/>
      <c r="RAO1" s="110"/>
      <c r="RAP1" s="110"/>
      <c r="RAQ1" s="110"/>
      <c r="RAR1" s="110"/>
      <c r="RAS1" s="110"/>
      <c r="RAT1" s="110"/>
      <c r="RAU1" s="110"/>
      <c r="RAV1" s="110"/>
      <c r="RAW1" s="110"/>
      <c r="RAX1" s="110"/>
      <c r="RAY1" s="110"/>
      <c r="RAZ1" s="110"/>
      <c r="RBA1" s="110"/>
      <c r="RBB1" s="110"/>
      <c r="RBC1" s="110"/>
      <c r="RBD1" s="110"/>
      <c r="RBE1" s="110"/>
      <c r="RBF1" s="110"/>
      <c r="RBG1" s="110"/>
      <c r="RBH1" s="110"/>
      <c r="RBI1" s="110"/>
      <c r="RBJ1" s="110"/>
      <c r="RBK1" s="110"/>
      <c r="RBL1" s="110"/>
      <c r="RBM1" s="110"/>
      <c r="RBN1" s="110"/>
      <c r="RBO1" s="110"/>
      <c r="RBP1" s="110"/>
      <c r="RBQ1" s="110"/>
      <c r="RBR1" s="110"/>
      <c r="RBS1" s="110"/>
      <c r="RBT1" s="110"/>
      <c r="RBU1" s="110"/>
      <c r="RBV1" s="110"/>
      <c r="RBW1" s="110"/>
      <c r="RBX1" s="110"/>
      <c r="RBY1" s="110"/>
      <c r="RBZ1" s="110"/>
      <c r="RCA1" s="110"/>
      <c r="RCB1" s="110"/>
      <c r="RCC1" s="110"/>
      <c r="RCD1" s="110"/>
      <c r="RCE1" s="110"/>
      <c r="RCF1" s="110"/>
      <c r="RCG1" s="110"/>
      <c r="RCH1" s="110"/>
      <c r="RCI1" s="110"/>
      <c r="RCJ1" s="110"/>
      <c r="RCK1" s="110"/>
      <c r="RCL1" s="110"/>
      <c r="RCM1" s="110"/>
      <c r="RCN1" s="110"/>
      <c r="RCO1" s="110"/>
      <c r="RCP1" s="110"/>
      <c r="RCQ1" s="110"/>
      <c r="RCR1" s="110"/>
      <c r="RCS1" s="110"/>
      <c r="RCT1" s="110"/>
      <c r="RCU1" s="110"/>
      <c r="RCV1" s="110"/>
      <c r="RCW1" s="110"/>
      <c r="RCX1" s="110"/>
      <c r="RCY1" s="110"/>
      <c r="RCZ1" s="110"/>
      <c r="RDA1" s="110"/>
      <c r="RDB1" s="110"/>
      <c r="RDC1" s="110"/>
      <c r="RDD1" s="110"/>
      <c r="RDE1" s="110"/>
      <c r="RDF1" s="110"/>
      <c r="RDG1" s="110"/>
      <c r="RDH1" s="110"/>
      <c r="RDI1" s="110"/>
      <c r="RDJ1" s="110"/>
      <c r="RDK1" s="110"/>
      <c r="RDL1" s="110"/>
      <c r="RDM1" s="110"/>
      <c r="RDN1" s="110"/>
      <c r="RDO1" s="110"/>
      <c r="RDP1" s="110"/>
      <c r="RDQ1" s="110"/>
      <c r="RDR1" s="110"/>
      <c r="RDS1" s="110"/>
      <c r="RDT1" s="110"/>
      <c r="RDU1" s="110"/>
      <c r="RDV1" s="110"/>
      <c r="RDW1" s="110"/>
      <c r="RDX1" s="110"/>
      <c r="RDY1" s="110"/>
      <c r="RDZ1" s="110"/>
      <c r="REA1" s="110"/>
      <c r="REB1" s="110"/>
      <c r="REC1" s="110"/>
      <c r="RED1" s="110"/>
      <c r="REE1" s="110"/>
      <c r="REF1" s="110"/>
      <c r="REG1" s="110"/>
      <c r="REH1" s="110"/>
      <c r="REI1" s="110"/>
      <c r="REJ1" s="110"/>
      <c r="REK1" s="110"/>
      <c r="REL1" s="110"/>
      <c r="REM1" s="110"/>
      <c r="REN1" s="110"/>
      <c r="REO1" s="110"/>
      <c r="REP1" s="110"/>
      <c r="REQ1" s="110"/>
      <c r="RER1" s="110"/>
      <c r="RES1" s="110"/>
      <c r="RET1" s="110"/>
      <c r="REU1" s="110"/>
      <c r="REV1" s="110"/>
      <c r="REW1" s="110"/>
      <c r="REX1" s="110"/>
      <c r="REY1" s="110"/>
      <c r="REZ1" s="110"/>
      <c r="RFA1" s="110"/>
      <c r="RFB1" s="110"/>
      <c r="RFC1" s="110"/>
      <c r="RFD1" s="110"/>
      <c r="RFE1" s="110"/>
      <c r="RFF1" s="110"/>
      <c r="RFG1" s="110"/>
      <c r="RFH1" s="110"/>
      <c r="RFI1" s="110"/>
      <c r="RFJ1" s="110"/>
      <c r="RFK1" s="110"/>
      <c r="RFL1" s="110"/>
      <c r="RFM1" s="110"/>
      <c r="RFN1" s="110"/>
      <c r="RFO1" s="110"/>
      <c r="RFP1" s="110"/>
      <c r="RFQ1" s="110"/>
      <c r="RFR1" s="110"/>
      <c r="RFS1" s="110"/>
      <c r="RFT1" s="110"/>
      <c r="RFU1" s="110"/>
      <c r="RFV1" s="110"/>
      <c r="RFW1" s="110"/>
      <c r="RFX1" s="110"/>
      <c r="RFY1" s="110"/>
      <c r="RFZ1" s="110"/>
      <c r="RGA1" s="110"/>
      <c r="RGB1" s="110"/>
      <c r="RGC1" s="110"/>
      <c r="RGD1" s="110"/>
      <c r="RGE1" s="110"/>
      <c r="RGF1" s="110"/>
      <c r="RGG1" s="110"/>
      <c r="RGH1" s="110"/>
      <c r="RGI1" s="110"/>
      <c r="RGJ1" s="110"/>
      <c r="RGK1" s="110"/>
      <c r="RGL1" s="110"/>
      <c r="RGM1" s="110"/>
      <c r="RGN1" s="110"/>
      <c r="RGO1" s="110"/>
      <c r="RGP1" s="110"/>
      <c r="RGQ1" s="110"/>
      <c r="RGR1" s="110"/>
      <c r="RGS1" s="110"/>
      <c r="RGT1" s="110"/>
      <c r="RGU1" s="110"/>
      <c r="RGV1" s="110"/>
      <c r="RGW1" s="110"/>
      <c r="RGX1" s="110"/>
      <c r="RGY1" s="110"/>
      <c r="RGZ1" s="110"/>
      <c r="RHA1" s="110"/>
      <c r="RHB1" s="110"/>
      <c r="RHC1" s="110"/>
      <c r="RHD1" s="110"/>
      <c r="RHE1" s="110"/>
      <c r="RHF1" s="110"/>
      <c r="RHG1" s="110"/>
      <c r="RHH1" s="110"/>
      <c r="RHI1" s="110"/>
      <c r="RHJ1" s="110"/>
      <c r="RHK1" s="110"/>
      <c r="RHL1" s="110"/>
      <c r="RHM1" s="110"/>
      <c r="RHN1" s="110"/>
      <c r="RHO1" s="110"/>
      <c r="RHP1" s="110"/>
      <c r="RHQ1" s="110"/>
      <c r="RHR1" s="110"/>
      <c r="RHS1" s="110"/>
      <c r="RHT1" s="110"/>
      <c r="RHU1" s="110"/>
      <c r="RHV1" s="110"/>
      <c r="RHW1" s="110"/>
      <c r="RHX1" s="110"/>
      <c r="RHY1" s="110"/>
      <c r="RHZ1" s="110"/>
      <c r="RIA1" s="110"/>
      <c r="RIB1" s="110"/>
      <c r="RIC1" s="110"/>
      <c r="RID1" s="110"/>
      <c r="RIE1" s="110"/>
      <c r="RIF1" s="110"/>
      <c r="RIG1" s="110"/>
      <c r="RIH1" s="110"/>
      <c r="RII1" s="110"/>
      <c r="RIJ1" s="110"/>
      <c r="RIK1" s="110"/>
      <c r="RIL1" s="110"/>
      <c r="RIM1" s="110"/>
      <c r="RIN1" s="110"/>
      <c r="RIO1" s="110"/>
      <c r="RIP1" s="110"/>
      <c r="RIQ1" s="110"/>
      <c r="RIR1" s="110"/>
      <c r="RIS1" s="110"/>
      <c r="RIT1" s="110"/>
      <c r="RIU1" s="110"/>
      <c r="RIV1" s="110"/>
      <c r="RIW1" s="110"/>
      <c r="RIX1" s="110"/>
      <c r="RIY1" s="110"/>
      <c r="RIZ1" s="110"/>
      <c r="RJA1" s="110"/>
      <c r="RJB1" s="110"/>
      <c r="RJC1" s="110"/>
      <c r="RJD1" s="110"/>
      <c r="RJE1" s="110"/>
      <c r="RJF1" s="110"/>
      <c r="RJG1" s="110"/>
      <c r="RJH1" s="110"/>
      <c r="RJI1" s="110"/>
      <c r="RJJ1" s="110"/>
      <c r="RJK1" s="110"/>
      <c r="RJL1" s="110"/>
      <c r="RJM1" s="110"/>
      <c r="RJN1" s="110"/>
      <c r="RJO1" s="110"/>
      <c r="RJP1" s="110"/>
      <c r="RJQ1" s="110"/>
      <c r="RJR1" s="110"/>
      <c r="RJS1" s="110"/>
      <c r="RJT1" s="110"/>
      <c r="RJU1" s="110"/>
      <c r="RJV1" s="110"/>
      <c r="RJW1" s="110"/>
      <c r="RJX1" s="110"/>
      <c r="RJY1" s="110"/>
      <c r="RJZ1" s="110"/>
      <c r="RKA1" s="110"/>
      <c r="RKB1" s="110"/>
      <c r="RKC1" s="110"/>
      <c r="RKD1" s="110"/>
      <c r="RKE1" s="110"/>
      <c r="RKF1" s="110"/>
      <c r="RKG1" s="110"/>
      <c r="RKH1" s="110"/>
      <c r="RKI1" s="110"/>
      <c r="RKJ1" s="110"/>
      <c r="RKK1" s="110"/>
      <c r="RKL1" s="110"/>
      <c r="RKM1" s="110"/>
      <c r="RKN1" s="110"/>
      <c r="RKO1" s="110"/>
      <c r="RKP1" s="110"/>
      <c r="RKQ1" s="110"/>
      <c r="RKR1" s="110"/>
      <c r="RKS1" s="110"/>
      <c r="RKT1" s="110"/>
      <c r="RKU1" s="110"/>
      <c r="RKV1" s="110"/>
      <c r="RKW1" s="110"/>
      <c r="RKX1" s="110"/>
      <c r="RKY1" s="110"/>
      <c r="RKZ1" s="110"/>
      <c r="RLA1" s="110"/>
      <c r="RLB1" s="110"/>
      <c r="RLC1" s="110"/>
      <c r="RLD1" s="110"/>
      <c r="RLE1" s="110"/>
      <c r="RLF1" s="110"/>
      <c r="RLG1" s="110"/>
      <c r="RLH1" s="110"/>
      <c r="RLI1" s="110"/>
      <c r="RLJ1" s="110"/>
      <c r="RLK1" s="110"/>
      <c r="RLL1" s="110"/>
      <c r="RLM1" s="110"/>
      <c r="RLN1" s="110"/>
      <c r="RLO1" s="110"/>
      <c r="RLP1" s="110"/>
      <c r="RLQ1" s="110"/>
      <c r="RLR1" s="110"/>
      <c r="RLS1" s="110"/>
      <c r="RLT1" s="110"/>
      <c r="RLU1" s="110"/>
      <c r="RLV1" s="110"/>
      <c r="RLW1" s="110"/>
      <c r="RLX1" s="110"/>
      <c r="RLY1" s="110"/>
      <c r="RLZ1" s="110"/>
      <c r="RMA1" s="110"/>
      <c r="RMB1" s="110"/>
      <c r="RMC1" s="110"/>
      <c r="RMD1" s="110"/>
      <c r="RME1" s="110"/>
      <c r="RMF1" s="110"/>
      <c r="RMG1" s="110"/>
      <c r="RMH1" s="110"/>
      <c r="RMI1" s="110"/>
      <c r="RMJ1" s="110"/>
      <c r="RMK1" s="110"/>
      <c r="RML1" s="110"/>
      <c r="RMM1" s="110"/>
      <c r="RMN1" s="110"/>
      <c r="RMO1" s="110"/>
      <c r="RMP1" s="110"/>
      <c r="RMQ1" s="110"/>
      <c r="RMR1" s="110"/>
      <c r="RMS1" s="110"/>
      <c r="RMT1" s="110"/>
      <c r="RMU1" s="110"/>
      <c r="RMV1" s="110"/>
      <c r="RMW1" s="110"/>
      <c r="RMX1" s="110"/>
      <c r="RMY1" s="110"/>
      <c r="RMZ1" s="110"/>
      <c r="RNA1" s="110"/>
      <c r="RNB1" s="110"/>
      <c r="RNC1" s="110"/>
      <c r="RND1" s="110"/>
      <c r="RNE1" s="110"/>
      <c r="RNF1" s="110"/>
      <c r="RNG1" s="110"/>
      <c r="RNH1" s="110"/>
      <c r="RNI1" s="110"/>
      <c r="RNJ1" s="110"/>
      <c r="RNK1" s="110"/>
      <c r="RNL1" s="110"/>
      <c r="RNM1" s="110"/>
      <c r="RNN1" s="110"/>
      <c r="RNO1" s="110"/>
      <c r="RNP1" s="110"/>
      <c r="RNQ1" s="110"/>
      <c r="RNR1" s="110"/>
      <c r="RNS1" s="110"/>
      <c r="RNT1" s="110"/>
      <c r="RNU1" s="110"/>
      <c r="RNV1" s="110"/>
      <c r="RNW1" s="110"/>
      <c r="RNX1" s="110"/>
      <c r="RNY1" s="110"/>
      <c r="RNZ1" s="110"/>
      <c r="ROA1" s="110"/>
      <c r="ROB1" s="110"/>
      <c r="ROC1" s="110"/>
      <c r="ROD1" s="110"/>
      <c r="ROE1" s="110"/>
      <c r="ROF1" s="110"/>
      <c r="ROG1" s="110"/>
      <c r="ROH1" s="110"/>
      <c r="ROI1" s="110"/>
      <c r="ROJ1" s="110"/>
      <c r="ROK1" s="110"/>
      <c r="ROL1" s="110"/>
      <c r="ROM1" s="110"/>
      <c r="RON1" s="110"/>
      <c r="ROO1" s="110"/>
      <c r="ROP1" s="110"/>
      <c r="ROQ1" s="110"/>
      <c r="ROR1" s="110"/>
      <c r="ROS1" s="110"/>
      <c r="ROT1" s="110"/>
      <c r="ROU1" s="110"/>
      <c r="ROV1" s="110"/>
      <c r="ROW1" s="110"/>
      <c r="ROX1" s="110"/>
      <c r="ROY1" s="110"/>
      <c r="ROZ1" s="110"/>
      <c r="RPA1" s="110"/>
      <c r="RPB1" s="110"/>
      <c r="RPC1" s="110"/>
      <c r="RPD1" s="110"/>
      <c r="RPE1" s="110"/>
      <c r="RPF1" s="110"/>
      <c r="RPG1" s="110"/>
      <c r="RPH1" s="110"/>
      <c r="RPI1" s="110"/>
      <c r="RPJ1" s="110"/>
      <c r="RPK1" s="110"/>
      <c r="RPL1" s="110"/>
      <c r="RPM1" s="110"/>
      <c r="RPN1" s="110"/>
      <c r="RPO1" s="110"/>
      <c r="RPP1" s="110"/>
      <c r="RPQ1" s="110"/>
      <c r="RPR1" s="110"/>
      <c r="RPS1" s="110"/>
      <c r="RPT1" s="110"/>
      <c r="RPU1" s="110"/>
      <c r="RPV1" s="110"/>
      <c r="RPW1" s="110"/>
      <c r="RPX1" s="110"/>
      <c r="RPY1" s="110"/>
      <c r="RPZ1" s="110"/>
      <c r="RQA1" s="110"/>
      <c r="RQB1" s="110"/>
      <c r="RQC1" s="110"/>
      <c r="RQD1" s="110"/>
      <c r="RQE1" s="110"/>
      <c r="RQF1" s="110"/>
      <c r="RQG1" s="110"/>
      <c r="RQH1" s="110"/>
      <c r="RQI1" s="110"/>
      <c r="RQJ1" s="110"/>
      <c r="RQK1" s="110"/>
      <c r="RQL1" s="110"/>
      <c r="RQM1" s="110"/>
      <c r="RQN1" s="110"/>
      <c r="RQO1" s="110"/>
      <c r="RQP1" s="110"/>
      <c r="RQQ1" s="110"/>
      <c r="RQR1" s="110"/>
      <c r="RQS1" s="110"/>
      <c r="RQT1" s="110"/>
      <c r="RQU1" s="110"/>
      <c r="RQV1" s="110"/>
      <c r="RQW1" s="110"/>
      <c r="RQX1" s="110"/>
      <c r="RQY1" s="110"/>
      <c r="RQZ1" s="110"/>
      <c r="RRA1" s="110"/>
      <c r="RRB1" s="110"/>
      <c r="RRC1" s="110"/>
      <c r="RRD1" s="110"/>
      <c r="RRE1" s="110"/>
      <c r="RRF1" s="110"/>
      <c r="RRG1" s="110"/>
      <c r="RRH1" s="110"/>
      <c r="RRI1" s="110"/>
      <c r="RRJ1" s="110"/>
      <c r="RRK1" s="110"/>
      <c r="RRL1" s="110"/>
      <c r="RRM1" s="110"/>
      <c r="RRN1" s="110"/>
      <c r="RRO1" s="110"/>
      <c r="RRP1" s="110"/>
      <c r="RRQ1" s="110"/>
      <c r="RRR1" s="110"/>
      <c r="RRS1" s="110"/>
      <c r="RRT1" s="110"/>
      <c r="RRU1" s="110"/>
      <c r="RRV1" s="110"/>
      <c r="RRW1" s="110"/>
      <c r="RRX1" s="110"/>
      <c r="RRY1" s="110"/>
      <c r="RRZ1" s="110"/>
      <c r="RSA1" s="110"/>
      <c r="RSB1" s="110"/>
      <c r="RSC1" s="110"/>
      <c r="RSD1" s="110"/>
      <c r="RSE1" s="110"/>
      <c r="RSF1" s="110"/>
      <c r="RSG1" s="110"/>
      <c r="RSH1" s="110"/>
      <c r="RSI1" s="110"/>
      <c r="RSJ1" s="110"/>
      <c r="RSK1" s="110"/>
      <c r="RSL1" s="110"/>
      <c r="RSM1" s="110"/>
      <c r="RSN1" s="110"/>
      <c r="RSO1" s="110"/>
      <c r="RSP1" s="110"/>
      <c r="RSQ1" s="110"/>
      <c r="RSR1" s="110"/>
      <c r="RSS1" s="110"/>
      <c r="RST1" s="110"/>
      <c r="RSU1" s="110"/>
      <c r="RSV1" s="110"/>
      <c r="RSW1" s="110"/>
      <c r="RSX1" s="110"/>
      <c r="RSY1" s="110"/>
      <c r="RSZ1" s="110"/>
      <c r="RTA1" s="110"/>
      <c r="RTB1" s="110"/>
      <c r="RTC1" s="110"/>
      <c r="RTD1" s="110"/>
      <c r="RTE1" s="110"/>
      <c r="RTF1" s="110"/>
      <c r="RTG1" s="110"/>
      <c r="RTH1" s="110"/>
      <c r="RTI1" s="110"/>
      <c r="RTJ1" s="110"/>
      <c r="RTK1" s="110"/>
      <c r="RTL1" s="110"/>
      <c r="RTM1" s="110"/>
      <c r="RTN1" s="110"/>
      <c r="RTO1" s="110"/>
      <c r="RTP1" s="110"/>
      <c r="RTQ1" s="110"/>
      <c r="RTR1" s="110"/>
      <c r="RTS1" s="110"/>
      <c r="RTT1" s="110"/>
      <c r="RTU1" s="110"/>
      <c r="RTV1" s="110"/>
      <c r="RTW1" s="110"/>
      <c r="RTX1" s="110"/>
      <c r="RTY1" s="110"/>
      <c r="RTZ1" s="110"/>
      <c r="RUA1" s="110"/>
      <c r="RUB1" s="110"/>
      <c r="RUC1" s="110"/>
      <c r="RUD1" s="110"/>
      <c r="RUE1" s="110"/>
      <c r="RUF1" s="110"/>
      <c r="RUG1" s="110"/>
      <c r="RUH1" s="110"/>
      <c r="RUI1" s="110"/>
      <c r="RUJ1" s="110"/>
      <c r="RUK1" s="110"/>
      <c r="RUL1" s="110"/>
      <c r="RUM1" s="110"/>
      <c r="RUN1" s="110"/>
      <c r="RUO1" s="110"/>
      <c r="RUP1" s="110"/>
      <c r="RUQ1" s="110"/>
      <c r="RUR1" s="110"/>
      <c r="RUS1" s="110"/>
      <c r="RUT1" s="110"/>
      <c r="RUU1" s="110"/>
      <c r="RUV1" s="110"/>
      <c r="RUW1" s="110"/>
      <c r="RUX1" s="110"/>
      <c r="RUY1" s="110"/>
      <c r="RUZ1" s="110"/>
      <c r="RVA1" s="110"/>
      <c r="RVB1" s="110"/>
      <c r="RVC1" s="110"/>
      <c r="RVD1" s="110"/>
      <c r="RVE1" s="110"/>
      <c r="RVF1" s="110"/>
      <c r="RVG1" s="110"/>
      <c r="RVH1" s="110"/>
      <c r="RVI1" s="110"/>
      <c r="RVJ1" s="110"/>
      <c r="RVK1" s="110"/>
      <c r="RVL1" s="110"/>
      <c r="RVM1" s="110"/>
      <c r="RVN1" s="110"/>
      <c r="RVO1" s="110"/>
      <c r="RVP1" s="110"/>
      <c r="RVQ1" s="110"/>
      <c r="RVR1" s="110"/>
      <c r="RVS1" s="110"/>
      <c r="RVT1" s="110"/>
      <c r="RVU1" s="110"/>
      <c r="RVV1" s="110"/>
      <c r="RVW1" s="110"/>
      <c r="RVX1" s="110"/>
      <c r="RVY1" s="110"/>
      <c r="RVZ1" s="110"/>
      <c r="RWA1" s="110"/>
      <c r="RWB1" s="110"/>
      <c r="RWC1" s="110"/>
      <c r="RWD1" s="110"/>
      <c r="RWE1" s="110"/>
      <c r="RWF1" s="110"/>
      <c r="RWG1" s="110"/>
      <c r="RWH1" s="110"/>
      <c r="RWI1" s="110"/>
      <c r="RWJ1" s="110"/>
      <c r="RWK1" s="110"/>
      <c r="RWL1" s="110"/>
      <c r="RWM1" s="110"/>
      <c r="RWN1" s="110"/>
      <c r="RWO1" s="110"/>
      <c r="RWP1" s="110"/>
      <c r="RWQ1" s="110"/>
      <c r="RWR1" s="110"/>
      <c r="RWS1" s="110"/>
      <c r="RWT1" s="110"/>
      <c r="RWU1" s="110"/>
      <c r="RWV1" s="110"/>
      <c r="RWW1" s="110"/>
      <c r="RWX1" s="110"/>
      <c r="RWY1" s="110"/>
      <c r="RWZ1" s="110"/>
      <c r="RXA1" s="110"/>
      <c r="RXB1" s="110"/>
      <c r="RXC1" s="110"/>
      <c r="RXD1" s="110"/>
      <c r="RXE1" s="110"/>
      <c r="RXF1" s="110"/>
      <c r="RXG1" s="110"/>
      <c r="RXH1" s="110"/>
      <c r="RXI1" s="110"/>
      <c r="RXJ1" s="110"/>
      <c r="RXK1" s="110"/>
      <c r="RXL1" s="110"/>
      <c r="RXM1" s="110"/>
      <c r="RXN1" s="110"/>
      <c r="RXO1" s="110"/>
      <c r="RXP1" s="110"/>
      <c r="RXQ1" s="110"/>
      <c r="RXR1" s="110"/>
      <c r="RXS1" s="110"/>
      <c r="RXT1" s="110"/>
      <c r="RXU1" s="110"/>
      <c r="RXV1" s="110"/>
      <c r="RXW1" s="110"/>
      <c r="RXX1" s="110"/>
      <c r="RXY1" s="110"/>
      <c r="RXZ1" s="110"/>
      <c r="RYA1" s="110"/>
      <c r="RYB1" s="110"/>
      <c r="RYC1" s="110"/>
      <c r="RYD1" s="110"/>
      <c r="RYE1" s="110"/>
      <c r="RYF1" s="110"/>
      <c r="RYG1" s="110"/>
      <c r="RYH1" s="110"/>
      <c r="RYI1" s="110"/>
      <c r="RYJ1" s="110"/>
      <c r="RYK1" s="110"/>
      <c r="RYL1" s="110"/>
      <c r="RYM1" s="110"/>
      <c r="RYN1" s="110"/>
      <c r="RYO1" s="110"/>
      <c r="RYP1" s="110"/>
      <c r="RYQ1" s="110"/>
      <c r="RYR1" s="110"/>
      <c r="RYS1" s="110"/>
      <c r="RYT1" s="110"/>
      <c r="RYU1" s="110"/>
      <c r="RYV1" s="110"/>
      <c r="RYW1" s="110"/>
      <c r="RYX1" s="110"/>
      <c r="RYY1" s="110"/>
      <c r="RYZ1" s="110"/>
      <c r="RZA1" s="110"/>
      <c r="RZB1" s="110"/>
      <c r="RZC1" s="110"/>
      <c r="RZD1" s="110"/>
      <c r="RZE1" s="110"/>
      <c r="RZF1" s="110"/>
      <c r="RZG1" s="110"/>
      <c r="RZH1" s="110"/>
      <c r="RZI1" s="110"/>
      <c r="RZJ1" s="110"/>
      <c r="RZK1" s="110"/>
      <c r="RZL1" s="110"/>
      <c r="RZM1" s="110"/>
      <c r="RZN1" s="110"/>
      <c r="RZO1" s="110"/>
      <c r="RZP1" s="110"/>
      <c r="RZQ1" s="110"/>
      <c r="RZR1" s="110"/>
      <c r="RZS1" s="110"/>
      <c r="RZT1" s="110"/>
      <c r="RZU1" s="110"/>
      <c r="RZV1" s="110"/>
      <c r="RZW1" s="110"/>
      <c r="RZX1" s="110"/>
      <c r="RZY1" s="110"/>
      <c r="RZZ1" s="110"/>
      <c r="SAA1" s="110"/>
      <c r="SAB1" s="110"/>
      <c r="SAC1" s="110"/>
      <c r="SAD1" s="110"/>
      <c r="SAE1" s="110"/>
      <c r="SAF1" s="110"/>
      <c r="SAG1" s="110"/>
      <c r="SAH1" s="110"/>
      <c r="SAI1" s="110"/>
      <c r="SAJ1" s="110"/>
      <c r="SAK1" s="110"/>
      <c r="SAL1" s="110"/>
      <c r="SAM1" s="110"/>
      <c r="SAN1" s="110"/>
      <c r="SAO1" s="110"/>
      <c r="SAP1" s="110"/>
      <c r="SAQ1" s="110"/>
      <c r="SAR1" s="110"/>
      <c r="SAS1" s="110"/>
      <c r="SAT1" s="110"/>
      <c r="SAU1" s="110"/>
      <c r="SAV1" s="110"/>
      <c r="SAW1" s="110"/>
      <c r="SAX1" s="110"/>
      <c r="SAY1" s="110"/>
      <c r="SAZ1" s="110"/>
      <c r="SBA1" s="110"/>
      <c r="SBB1" s="110"/>
      <c r="SBC1" s="110"/>
      <c r="SBD1" s="110"/>
      <c r="SBE1" s="110"/>
      <c r="SBF1" s="110"/>
      <c r="SBG1" s="110"/>
      <c r="SBH1" s="110"/>
      <c r="SBI1" s="110"/>
      <c r="SBJ1" s="110"/>
      <c r="SBK1" s="110"/>
      <c r="SBL1" s="110"/>
      <c r="SBM1" s="110"/>
      <c r="SBN1" s="110"/>
      <c r="SBO1" s="110"/>
      <c r="SBP1" s="110"/>
      <c r="SBQ1" s="110"/>
      <c r="SBR1" s="110"/>
      <c r="SBS1" s="110"/>
      <c r="SBT1" s="110"/>
      <c r="SBU1" s="110"/>
      <c r="SBV1" s="110"/>
      <c r="SBW1" s="110"/>
      <c r="SBX1" s="110"/>
      <c r="SBY1" s="110"/>
      <c r="SBZ1" s="110"/>
      <c r="SCA1" s="110"/>
      <c r="SCB1" s="110"/>
      <c r="SCC1" s="110"/>
      <c r="SCD1" s="110"/>
      <c r="SCE1" s="110"/>
      <c r="SCF1" s="110"/>
      <c r="SCG1" s="110"/>
      <c r="SCH1" s="110"/>
      <c r="SCI1" s="110"/>
      <c r="SCJ1" s="110"/>
      <c r="SCK1" s="110"/>
      <c r="SCL1" s="110"/>
      <c r="SCM1" s="110"/>
      <c r="SCN1" s="110"/>
      <c r="SCO1" s="110"/>
      <c r="SCP1" s="110"/>
      <c r="SCQ1" s="110"/>
      <c r="SCR1" s="110"/>
      <c r="SCS1" s="110"/>
      <c r="SCT1" s="110"/>
      <c r="SCU1" s="110"/>
      <c r="SCV1" s="110"/>
      <c r="SCW1" s="110"/>
      <c r="SCX1" s="110"/>
      <c r="SCY1" s="110"/>
      <c r="SCZ1" s="110"/>
      <c r="SDA1" s="110"/>
      <c r="SDB1" s="110"/>
      <c r="SDC1" s="110"/>
      <c r="SDD1" s="110"/>
      <c r="SDE1" s="110"/>
      <c r="SDF1" s="110"/>
      <c r="SDG1" s="110"/>
      <c r="SDH1" s="110"/>
      <c r="SDI1" s="110"/>
      <c r="SDJ1" s="110"/>
      <c r="SDK1" s="110"/>
      <c r="SDL1" s="110"/>
      <c r="SDM1" s="110"/>
      <c r="SDN1" s="110"/>
      <c r="SDO1" s="110"/>
      <c r="SDP1" s="110"/>
      <c r="SDQ1" s="110"/>
      <c r="SDR1" s="110"/>
      <c r="SDS1" s="110"/>
      <c r="SDT1" s="110"/>
      <c r="SDU1" s="110"/>
      <c r="SDV1" s="110"/>
      <c r="SDW1" s="110"/>
      <c r="SDX1" s="110"/>
      <c r="SDY1" s="110"/>
      <c r="SDZ1" s="110"/>
      <c r="SEA1" s="110"/>
      <c r="SEB1" s="110"/>
      <c r="SEC1" s="110"/>
      <c r="SED1" s="110"/>
      <c r="SEE1" s="110"/>
      <c r="SEF1" s="110"/>
      <c r="SEG1" s="110"/>
      <c r="SEH1" s="110"/>
      <c r="SEI1" s="110"/>
      <c r="SEJ1" s="110"/>
      <c r="SEK1" s="110"/>
      <c r="SEL1" s="110"/>
      <c r="SEM1" s="110"/>
      <c r="SEN1" s="110"/>
      <c r="SEO1" s="110"/>
      <c r="SEP1" s="110"/>
      <c r="SEQ1" s="110"/>
      <c r="SER1" s="110"/>
      <c r="SES1" s="110"/>
      <c r="SET1" s="110"/>
      <c r="SEU1" s="110"/>
      <c r="SEV1" s="110"/>
      <c r="SEW1" s="110"/>
      <c r="SEX1" s="110"/>
      <c r="SEY1" s="110"/>
      <c r="SEZ1" s="110"/>
      <c r="SFA1" s="110"/>
      <c r="SFB1" s="110"/>
      <c r="SFC1" s="110"/>
      <c r="SFD1" s="110"/>
      <c r="SFE1" s="110"/>
      <c r="SFF1" s="110"/>
      <c r="SFG1" s="110"/>
      <c r="SFH1" s="110"/>
      <c r="SFI1" s="110"/>
      <c r="SFJ1" s="110"/>
      <c r="SFK1" s="110"/>
      <c r="SFL1" s="110"/>
      <c r="SFM1" s="110"/>
      <c r="SFN1" s="110"/>
      <c r="SFO1" s="110"/>
      <c r="SFP1" s="110"/>
      <c r="SFQ1" s="110"/>
      <c r="SFR1" s="110"/>
      <c r="SFS1" s="110"/>
      <c r="SFT1" s="110"/>
      <c r="SFU1" s="110"/>
      <c r="SFV1" s="110"/>
      <c r="SFW1" s="110"/>
      <c r="SFX1" s="110"/>
      <c r="SFY1" s="110"/>
      <c r="SFZ1" s="110"/>
      <c r="SGA1" s="110"/>
      <c r="SGB1" s="110"/>
      <c r="SGC1" s="110"/>
      <c r="SGD1" s="110"/>
      <c r="SGE1" s="110"/>
      <c r="SGF1" s="110"/>
      <c r="SGG1" s="110"/>
      <c r="SGH1" s="110"/>
      <c r="SGI1" s="110"/>
      <c r="SGJ1" s="110"/>
      <c r="SGK1" s="110"/>
      <c r="SGL1" s="110"/>
      <c r="SGM1" s="110"/>
      <c r="SGN1" s="110"/>
      <c r="SGO1" s="110"/>
      <c r="SGP1" s="110"/>
      <c r="SGQ1" s="110"/>
      <c r="SGR1" s="110"/>
      <c r="SGS1" s="110"/>
      <c r="SGT1" s="110"/>
      <c r="SGU1" s="110"/>
      <c r="SGV1" s="110"/>
      <c r="SGW1" s="110"/>
      <c r="SGX1" s="110"/>
      <c r="SGY1" s="110"/>
      <c r="SGZ1" s="110"/>
      <c r="SHA1" s="110"/>
      <c r="SHB1" s="110"/>
      <c r="SHC1" s="110"/>
      <c r="SHD1" s="110"/>
      <c r="SHE1" s="110"/>
      <c r="SHF1" s="110"/>
      <c r="SHG1" s="110"/>
      <c r="SHH1" s="110"/>
      <c r="SHI1" s="110"/>
      <c r="SHJ1" s="110"/>
      <c r="SHK1" s="110"/>
      <c r="SHL1" s="110"/>
      <c r="SHM1" s="110"/>
      <c r="SHN1" s="110"/>
      <c r="SHO1" s="110"/>
      <c r="SHP1" s="110"/>
      <c r="SHQ1" s="110"/>
      <c r="SHR1" s="110"/>
      <c r="SHS1" s="110"/>
      <c r="SHT1" s="110"/>
      <c r="SHU1" s="110"/>
      <c r="SHV1" s="110"/>
      <c r="SHW1" s="110"/>
      <c r="SHX1" s="110"/>
      <c r="SHY1" s="110"/>
      <c r="SHZ1" s="110"/>
      <c r="SIA1" s="110"/>
      <c r="SIB1" s="110"/>
      <c r="SIC1" s="110"/>
      <c r="SID1" s="110"/>
      <c r="SIE1" s="110"/>
      <c r="SIF1" s="110"/>
      <c r="SIG1" s="110"/>
      <c r="SIH1" s="110"/>
      <c r="SII1" s="110"/>
      <c r="SIJ1" s="110"/>
      <c r="SIK1" s="110"/>
      <c r="SIL1" s="110"/>
      <c r="SIM1" s="110"/>
      <c r="SIN1" s="110"/>
      <c r="SIO1" s="110"/>
      <c r="SIP1" s="110"/>
      <c r="SIQ1" s="110"/>
      <c r="SIR1" s="110"/>
      <c r="SIS1" s="110"/>
      <c r="SIT1" s="110"/>
      <c r="SIU1" s="110"/>
      <c r="SIV1" s="110"/>
      <c r="SIW1" s="110"/>
      <c r="SIX1" s="110"/>
      <c r="SIY1" s="110"/>
      <c r="SIZ1" s="110"/>
      <c r="SJA1" s="110"/>
      <c r="SJB1" s="110"/>
      <c r="SJC1" s="110"/>
      <c r="SJD1" s="110"/>
      <c r="SJE1" s="110"/>
      <c r="SJF1" s="110"/>
      <c r="SJG1" s="110"/>
      <c r="SJH1" s="110"/>
      <c r="SJI1" s="110"/>
      <c r="SJJ1" s="110"/>
      <c r="SJK1" s="110"/>
      <c r="SJL1" s="110"/>
      <c r="SJM1" s="110"/>
      <c r="SJN1" s="110"/>
      <c r="SJO1" s="110"/>
      <c r="SJP1" s="110"/>
      <c r="SJQ1" s="110"/>
      <c r="SJR1" s="110"/>
      <c r="SJS1" s="110"/>
      <c r="SJT1" s="110"/>
      <c r="SJU1" s="110"/>
      <c r="SJV1" s="110"/>
      <c r="SJW1" s="110"/>
      <c r="SJX1" s="110"/>
      <c r="SJY1" s="110"/>
      <c r="SJZ1" s="110"/>
      <c r="SKA1" s="110"/>
      <c r="SKB1" s="110"/>
      <c r="SKC1" s="110"/>
      <c r="SKD1" s="110"/>
      <c r="SKE1" s="110"/>
      <c r="SKF1" s="110"/>
      <c r="SKG1" s="110"/>
      <c r="SKH1" s="110"/>
      <c r="SKI1" s="110"/>
      <c r="SKJ1" s="110"/>
      <c r="SKK1" s="110"/>
      <c r="SKL1" s="110"/>
      <c r="SKM1" s="110"/>
      <c r="SKN1" s="110"/>
      <c r="SKO1" s="110"/>
      <c r="SKP1" s="110"/>
      <c r="SKQ1" s="110"/>
      <c r="SKR1" s="110"/>
      <c r="SKS1" s="110"/>
      <c r="SKT1" s="110"/>
      <c r="SKU1" s="110"/>
      <c r="SKV1" s="110"/>
      <c r="SKW1" s="110"/>
      <c r="SKX1" s="110"/>
      <c r="SKY1" s="110"/>
      <c r="SKZ1" s="110"/>
      <c r="SLA1" s="110"/>
      <c r="SLB1" s="110"/>
      <c r="SLC1" s="110"/>
      <c r="SLD1" s="110"/>
      <c r="SLE1" s="110"/>
      <c r="SLF1" s="110"/>
      <c r="SLG1" s="110"/>
      <c r="SLH1" s="110"/>
      <c r="SLI1" s="110"/>
      <c r="SLJ1" s="110"/>
      <c r="SLK1" s="110"/>
      <c r="SLL1" s="110"/>
      <c r="SLM1" s="110"/>
      <c r="SLN1" s="110"/>
      <c r="SLO1" s="110"/>
      <c r="SLP1" s="110"/>
      <c r="SLQ1" s="110"/>
      <c r="SLR1" s="110"/>
      <c r="SLS1" s="110"/>
      <c r="SLT1" s="110"/>
      <c r="SLU1" s="110"/>
      <c r="SLV1" s="110"/>
      <c r="SLW1" s="110"/>
      <c r="SLX1" s="110"/>
      <c r="SLY1" s="110"/>
      <c r="SLZ1" s="110"/>
      <c r="SMA1" s="110"/>
      <c r="SMB1" s="110"/>
      <c r="SMC1" s="110"/>
      <c r="SMD1" s="110"/>
      <c r="SME1" s="110"/>
      <c r="SMF1" s="110"/>
      <c r="SMG1" s="110"/>
      <c r="SMH1" s="110"/>
      <c r="SMI1" s="110"/>
      <c r="SMJ1" s="110"/>
      <c r="SMK1" s="110"/>
      <c r="SML1" s="110"/>
      <c r="SMM1" s="110"/>
      <c r="SMN1" s="110"/>
      <c r="SMO1" s="110"/>
      <c r="SMP1" s="110"/>
      <c r="SMQ1" s="110"/>
      <c r="SMR1" s="110"/>
      <c r="SMS1" s="110"/>
      <c r="SMT1" s="110"/>
      <c r="SMU1" s="110"/>
      <c r="SMV1" s="110"/>
      <c r="SMW1" s="110"/>
      <c r="SMX1" s="110"/>
      <c r="SMY1" s="110"/>
      <c r="SMZ1" s="110"/>
      <c r="SNA1" s="110"/>
      <c r="SNB1" s="110"/>
      <c r="SNC1" s="110"/>
      <c r="SND1" s="110"/>
      <c r="SNE1" s="110"/>
      <c r="SNF1" s="110"/>
      <c r="SNG1" s="110"/>
      <c r="SNH1" s="110"/>
      <c r="SNI1" s="110"/>
      <c r="SNJ1" s="110"/>
      <c r="SNK1" s="110"/>
      <c r="SNL1" s="110"/>
      <c r="SNM1" s="110"/>
      <c r="SNN1" s="110"/>
      <c r="SNO1" s="110"/>
      <c r="SNP1" s="110"/>
      <c r="SNQ1" s="110"/>
      <c r="SNR1" s="110"/>
      <c r="SNS1" s="110"/>
      <c r="SNT1" s="110"/>
      <c r="SNU1" s="110"/>
      <c r="SNV1" s="110"/>
      <c r="SNW1" s="110"/>
      <c r="SNX1" s="110"/>
      <c r="SNY1" s="110"/>
      <c r="SNZ1" s="110"/>
      <c r="SOA1" s="110"/>
      <c r="SOB1" s="110"/>
      <c r="SOC1" s="110"/>
      <c r="SOD1" s="110"/>
      <c r="SOE1" s="110"/>
      <c r="SOF1" s="110"/>
      <c r="SOG1" s="110"/>
      <c r="SOH1" s="110"/>
      <c r="SOI1" s="110"/>
      <c r="SOJ1" s="110"/>
      <c r="SOK1" s="110"/>
      <c r="SOL1" s="110"/>
      <c r="SOM1" s="110"/>
      <c r="SON1" s="110"/>
      <c r="SOO1" s="110"/>
      <c r="SOP1" s="110"/>
      <c r="SOQ1" s="110"/>
      <c r="SOR1" s="110"/>
      <c r="SOS1" s="110"/>
      <c r="SOT1" s="110"/>
      <c r="SOU1" s="110"/>
      <c r="SOV1" s="110"/>
      <c r="SOW1" s="110"/>
      <c r="SOX1" s="110"/>
      <c r="SOY1" s="110"/>
      <c r="SOZ1" s="110"/>
      <c r="SPA1" s="110"/>
      <c r="SPB1" s="110"/>
      <c r="SPC1" s="110"/>
      <c r="SPD1" s="110"/>
      <c r="SPE1" s="110"/>
      <c r="SPF1" s="110"/>
      <c r="SPG1" s="110"/>
      <c r="SPH1" s="110"/>
      <c r="SPI1" s="110"/>
      <c r="SPJ1" s="110"/>
      <c r="SPK1" s="110"/>
      <c r="SPL1" s="110"/>
      <c r="SPM1" s="110"/>
      <c r="SPN1" s="110"/>
      <c r="SPO1" s="110"/>
      <c r="SPP1" s="110"/>
      <c r="SPQ1" s="110"/>
      <c r="SPR1" s="110"/>
      <c r="SPS1" s="110"/>
      <c r="SPT1" s="110"/>
      <c r="SPU1" s="110"/>
      <c r="SPV1" s="110"/>
      <c r="SPW1" s="110"/>
      <c r="SPX1" s="110"/>
      <c r="SPY1" s="110"/>
      <c r="SPZ1" s="110"/>
      <c r="SQA1" s="110"/>
      <c r="SQB1" s="110"/>
      <c r="SQC1" s="110"/>
      <c r="SQD1" s="110"/>
      <c r="SQE1" s="110"/>
      <c r="SQF1" s="110"/>
      <c r="SQG1" s="110"/>
      <c r="SQH1" s="110"/>
      <c r="SQI1" s="110"/>
      <c r="SQJ1" s="110"/>
      <c r="SQK1" s="110"/>
      <c r="SQL1" s="110"/>
      <c r="SQM1" s="110"/>
      <c r="SQN1" s="110"/>
      <c r="SQO1" s="110"/>
      <c r="SQP1" s="110"/>
      <c r="SQQ1" s="110"/>
      <c r="SQR1" s="110"/>
      <c r="SQS1" s="110"/>
      <c r="SQT1" s="110"/>
      <c r="SQU1" s="110"/>
      <c r="SQV1" s="110"/>
      <c r="SQW1" s="110"/>
      <c r="SQX1" s="110"/>
      <c r="SQY1" s="110"/>
      <c r="SQZ1" s="110"/>
      <c r="SRA1" s="110"/>
      <c r="SRB1" s="110"/>
      <c r="SRC1" s="110"/>
      <c r="SRD1" s="110"/>
      <c r="SRE1" s="110"/>
      <c r="SRF1" s="110"/>
      <c r="SRG1" s="110"/>
      <c r="SRH1" s="110"/>
      <c r="SRI1" s="110"/>
      <c r="SRJ1" s="110"/>
      <c r="SRK1" s="110"/>
      <c r="SRL1" s="110"/>
      <c r="SRM1" s="110"/>
      <c r="SRN1" s="110"/>
      <c r="SRO1" s="110"/>
      <c r="SRP1" s="110"/>
      <c r="SRQ1" s="110"/>
      <c r="SRR1" s="110"/>
      <c r="SRS1" s="110"/>
      <c r="SRT1" s="110"/>
      <c r="SRU1" s="110"/>
      <c r="SRV1" s="110"/>
      <c r="SRW1" s="110"/>
      <c r="SRX1" s="110"/>
      <c r="SRY1" s="110"/>
      <c r="SRZ1" s="110"/>
      <c r="SSA1" s="110"/>
      <c r="SSB1" s="110"/>
      <c r="SSC1" s="110"/>
      <c r="SSD1" s="110"/>
      <c r="SSE1" s="110"/>
      <c r="SSF1" s="110"/>
      <c r="SSG1" s="110"/>
      <c r="SSH1" s="110"/>
      <c r="SSI1" s="110"/>
      <c r="SSJ1" s="110"/>
      <c r="SSK1" s="110"/>
      <c r="SSL1" s="110"/>
      <c r="SSM1" s="110"/>
      <c r="SSN1" s="110"/>
      <c r="SSO1" s="110"/>
      <c r="SSP1" s="110"/>
      <c r="SSQ1" s="110"/>
      <c r="SSR1" s="110"/>
      <c r="SSS1" s="110"/>
      <c r="SST1" s="110"/>
      <c r="SSU1" s="110"/>
      <c r="SSV1" s="110"/>
      <c r="SSW1" s="110"/>
      <c r="SSX1" s="110"/>
      <c r="SSY1" s="110"/>
      <c r="SSZ1" s="110"/>
      <c r="STA1" s="110"/>
      <c r="STB1" s="110"/>
      <c r="STC1" s="110"/>
      <c r="STD1" s="110"/>
      <c r="STE1" s="110"/>
      <c r="STF1" s="110"/>
      <c r="STG1" s="110"/>
      <c r="STH1" s="110"/>
      <c r="STI1" s="110"/>
      <c r="STJ1" s="110"/>
      <c r="STK1" s="110"/>
      <c r="STL1" s="110"/>
      <c r="STM1" s="110"/>
      <c r="STN1" s="110"/>
      <c r="STO1" s="110"/>
      <c r="STP1" s="110"/>
      <c r="STQ1" s="110"/>
      <c r="STR1" s="110"/>
      <c r="STS1" s="110"/>
      <c r="STT1" s="110"/>
      <c r="STU1" s="110"/>
      <c r="STV1" s="110"/>
      <c r="STW1" s="110"/>
      <c r="STX1" s="110"/>
      <c r="STY1" s="110"/>
      <c r="STZ1" s="110"/>
      <c r="SUA1" s="110"/>
      <c r="SUB1" s="110"/>
      <c r="SUC1" s="110"/>
      <c r="SUD1" s="110"/>
      <c r="SUE1" s="110"/>
      <c r="SUF1" s="110"/>
      <c r="SUG1" s="110"/>
      <c r="SUH1" s="110"/>
      <c r="SUI1" s="110"/>
      <c r="SUJ1" s="110"/>
      <c r="SUK1" s="110"/>
      <c r="SUL1" s="110"/>
      <c r="SUM1" s="110"/>
      <c r="SUN1" s="110"/>
      <c r="SUO1" s="110"/>
      <c r="SUP1" s="110"/>
      <c r="SUQ1" s="110"/>
      <c r="SUR1" s="110"/>
      <c r="SUS1" s="110"/>
      <c r="SUT1" s="110"/>
      <c r="SUU1" s="110"/>
      <c r="SUV1" s="110"/>
      <c r="SUW1" s="110"/>
      <c r="SUX1" s="110"/>
      <c r="SUY1" s="110"/>
      <c r="SUZ1" s="110"/>
      <c r="SVA1" s="110"/>
      <c r="SVB1" s="110"/>
      <c r="SVC1" s="110"/>
      <c r="SVD1" s="110"/>
      <c r="SVE1" s="110"/>
      <c r="SVF1" s="110"/>
      <c r="SVG1" s="110"/>
      <c r="SVH1" s="110"/>
      <c r="SVI1" s="110"/>
      <c r="SVJ1" s="110"/>
      <c r="SVK1" s="110"/>
      <c r="SVL1" s="110"/>
      <c r="SVM1" s="110"/>
      <c r="SVN1" s="110"/>
      <c r="SVO1" s="110"/>
      <c r="SVP1" s="110"/>
      <c r="SVQ1" s="110"/>
      <c r="SVR1" s="110"/>
      <c r="SVS1" s="110"/>
      <c r="SVT1" s="110"/>
      <c r="SVU1" s="110"/>
      <c r="SVV1" s="110"/>
      <c r="SVW1" s="110"/>
      <c r="SVX1" s="110"/>
      <c r="SVY1" s="110"/>
      <c r="SVZ1" s="110"/>
      <c r="SWA1" s="110"/>
      <c r="SWB1" s="110"/>
      <c r="SWC1" s="110"/>
      <c r="SWD1" s="110"/>
      <c r="SWE1" s="110"/>
      <c r="SWF1" s="110"/>
      <c r="SWG1" s="110"/>
      <c r="SWH1" s="110"/>
      <c r="SWI1" s="110"/>
      <c r="SWJ1" s="110"/>
      <c r="SWK1" s="110"/>
      <c r="SWL1" s="110"/>
      <c r="SWM1" s="110"/>
      <c r="SWN1" s="110"/>
      <c r="SWO1" s="110"/>
      <c r="SWP1" s="110"/>
      <c r="SWQ1" s="110"/>
      <c r="SWR1" s="110"/>
      <c r="SWS1" s="110"/>
      <c r="SWT1" s="110"/>
      <c r="SWU1" s="110"/>
      <c r="SWV1" s="110"/>
      <c r="SWW1" s="110"/>
      <c r="SWX1" s="110"/>
      <c r="SWY1" s="110"/>
      <c r="SWZ1" s="110"/>
      <c r="SXA1" s="110"/>
      <c r="SXB1" s="110"/>
      <c r="SXC1" s="110"/>
      <c r="SXD1" s="110"/>
      <c r="SXE1" s="110"/>
      <c r="SXF1" s="110"/>
      <c r="SXG1" s="110"/>
      <c r="SXH1" s="110"/>
      <c r="SXI1" s="110"/>
      <c r="SXJ1" s="110"/>
      <c r="SXK1" s="110"/>
      <c r="SXL1" s="110"/>
      <c r="SXM1" s="110"/>
      <c r="SXN1" s="110"/>
      <c r="SXO1" s="110"/>
      <c r="SXP1" s="110"/>
      <c r="SXQ1" s="110"/>
      <c r="SXR1" s="110"/>
      <c r="SXS1" s="110"/>
      <c r="SXT1" s="110"/>
      <c r="SXU1" s="110"/>
      <c r="SXV1" s="110"/>
      <c r="SXW1" s="110"/>
      <c r="SXX1" s="110"/>
      <c r="SXY1" s="110"/>
      <c r="SXZ1" s="110"/>
      <c r="SYA1" s="110"/>
      <c r="SYB1" s="110"/>
      <c r="SYC1" s="110"/>
      <c r="SYD1" s="110"/>
      <c r="SYE1" s="110"/>
      <c r="SYF1" s="110"/>
      <c r="SYG1" s="110"/>
      <c r="SYH1" s="110"/>
      <c r="SYI1" s="110"/>
      <c r="SYJ1" s="110"/>
      <c r="SYK1" s="110"/>
      <c r="SYL1" s="110"/>
      <c r="SYM1" s="110"/>
      <c r="SYN1" s="110"/>
      <c r="SYO1" s="110"/>
      <c r="SYP1" s="110"/>
      <c r="SYQ1" s="110"/>
      <c r="SYR1" s="110"/>
      <c r="SYS1" s="110"/>
      <c r="SYT1" s="110"/>
      <c r="SYU1" s="110"/>
      <c r="SYV1" s="110"/>
      <c r="SYW1" s="110"/>
      <c r="SYX1" s="110"/>
      <c r="SYY1" s="110"/>
      <c r="SYZ1" s="110"/>
      <c r="SZA1" s="110"/>
      <c r="SZB1" s="110"/>
      <c r="SZC1" s="110"/>
      <c r="SZD1" s="110"/>
      <c r="SZE1" s="110"/>
      <c r="SZF1" s="110"/>
      <c r="SZG1" s="110"/>
      <c r="SZH1" s="110"/>
      <c r="SZI1" s="110"/>
      <c r="SZJ1" s="110"/>
      <c r="SZK1" s="110"/>
      <c r="SZL1" s="110"/>
      <c r="SZM1" s="110"/>
      <c r="SZN1" s="110"/>
      <c r="SZO1" s="110"/>
      <c r="SZP1" s="110"/>
      <c r="SZQ1" s="110"/>
      <c r="SZR1" s="110"/>
      <c r="SZS1" s="110"/>
      <c r="SZT1" s="110"/>
      <c r="SZU1" s="110"/>
      <c r="SZV1" s="110"/>
      <c r="SZW1" s="110"/>
      <c r="SZX1" s="110"/>
      <c r="SZY1" s="110"/>
      <c r="SZZ1" s="110"/>
      <c r="TAA1" s="110"/>
      <c r="TAB1" s="110"/>
      <c r="TAC1" s="110"/>
      <c r="TAD1" s="110"/>
      <c r="TAE1" s="110"/>
      <c r="TAF1" s="110"/>
      <c r="TAG1" s="110"/>
      <c r="TAH1" s="110"/>
      <c r="TAI1" s="110"/>
      <c r="TAJ1" s="110"/>
      <c r="TAK1" s="110"/>
      <c r="TAL1" s="110"/>
      <c r="TAM1" s="110"/>
      <c r="TAN1" s="110"/>
      <c r="TAO1" s="110"/>
      <c r="TAP1" s="110"/>
      <c r="TAQ1" s="110"/>
      <c r="TAR1" s="110"/>
      <c r="TAS1" s="110"/>
      <c r="TAT1" s="110"/>
      <c r="TAU1" s="110"/>
      <c r="TAV1" s="110"/>
      <c r="TAW1" s="110"/>
      <c r="TAX1" s="110"/>
      <c r="TAY1" s="110"/>
      <c r="TAZ1" s="110"/>
      <c r="TBA1" s="110"/>
      <c r="TBB1" s="110"/>
      <c r="TBC1" s="110"/>
      <c r="TBD1" s="110"/>
      <c r="TBE1" s="110"/>
      <c r="TBF1" s="110"/>
      <c r="TBG1" s="110"/>
      <c r="TBH1" s="110"/>
      <c r="TBI1" s="110"/>
      <c r="TBJ1" s="110"/>
      <c r="TBK1" s="110"/>
      <c r="TBL1" s="110"/>
      <c r="TBM1" s="110"/>
      <c r="TBN1" s="110"/>
      <c r="TBO1" s="110"/>
      <c r="TBP1" s="110"/>
      <c r="TBQ1" s="110"/>
      <c r="TBR1" s="110"/>
      <c r="TBS1" s="110"/>
      <c r="TBT1" s="110"/>
      <c r="TBU1" s="110"/>
      <c r="TBV1" s="110"/>
      <c r="TBW1" s="110"/>
      <c r="TBX1" s="110"/>
      <c r="TBY1" s="110"/>
      <c r="TBZ1" s="110"/>
      <c r="TCA1" s="110"/>
      <c r="TCB1" s="110"/>
      <c r="TCC1" s="110"/>
      <c r="TCD1" s="110"/>
      <c r="TCE1" s="110"/>
      <c r="TCF1" s="110"/>
      <c r="TCG1" s="110"/>
      <c r="TCH1" s="110"/>
      <c r="TCI1" s="110"/>
      <c r="TCJ1" s="110"/>
      <c r="TCK1" s="110"/>
      <c r="TCL1" s="110"/>
      <c r="TCM1" s="110"/>
      <c r="TCN1" s="110"/>
      <c r="TCO1" s="110"/>
      <c r="TCP1" s="110"/>
      <c r="TCQ1" s="110"/>
      <c r="TCR1" s="110"/>
      <c r="TCS1" s="110"/>
      <c r="TCT1" s="110"/>
      <c r="TCU1" s="110"/>
      <c r="TCV1" s="110"/>
      <c r="TCW1" s="110"/>
      <c r="TCX1" s="110"/>
      <c r="TCY1" s="110"/>
      <c r="TCZ1" s="110"/>
      <c r="TDA1" s="110"/>
      <c r="TDB1" s="110"/>
      <c r="TDC1" s="110"/>
      <c r="TDD1" s="110"/>
      <c r="TDE1" s="110"/>
      <c r="TDF1" s="110"/>
      <c r="TDG1" s="110"/>
      <c r="TDH1" s="110"/>
      <c r="TDI1" s="110"/>
      <c r="TDJ1" s="110"/>
      <c r="TDK1" s="110"/>
      <c r="TDL1" s="110"/>
      <c r="TDM1" s="110"/>
      <c r="TDN1" s="110"/>
      <c r="TDO1" s="110"/>
      <c r="TDP1" s="110"/>
      <c r="TDQ1" s="110"/>
      <c r="TDR1" s="110"/>
      <c r="TDS1" s="110"/>
      <c r="TDT1" s="110"/>
      <c r="TDU1" s="110"/>
      <c r="TDV1" s="110"/>
      <c r="TDW1" s="110"/>
      <c r="TDX1" s="110"/>
      <c r="TDY1" s="110"/>
      <c r="TDZ1" s="110"/>
      <c r="TEA1" s="110"/>
      <c r="TEB1" s="110"/>
      <c r="TEC1" s="110"/>
      <c r="TED1" s="110"/>
      <c r="TEE1" s="110"/>
      <c r="TEF1" s="110"/>
      <c r="TEG1" s="110"/>
      <c r="TEH1" s="110"/>
      <c r="TEI1" s="110"/>
      <c r="TEJ1" s="110"/>
      <c r="TEK1" s="110"/>
      <c r="TEL1" s="110"/>
      <c r="TEM1" s="110"/>
      <c r="TEN1" s="110"/>
      <c r="TEO1" s="110"/>
      <c r="TEP1" s="110"/>
      <c r="TEQ1" s="110"/>
      <c r="TER1" s="110"/>
      <c r="TES1" s="110"/>
      <c r="TET1" s="110"/>
      <c r="TEU1" s="110"/>
      <c r="TEV1" s="110"/>
      <c r="TEW1" s="110"/>
      <c r="TEX1" s="110"/>
      <c r="TEY1" s="110"/>
      <c r="TEZ1" s="110"/>
      <c r="TFA1" s="110"/>
      <c r="TFB1" s="110"/>
      <c r="TFC1" s="110"/>
      <c r="TFD1" s="110"/>
      <c r="TFE1" s="110"/>
      <c r="TFF1" s="110"/>
      <c r="TFG1" s="110"/>
      <c r="TFH1" s="110"/>
      <c r="TFI1" s="110"/>
      <c r="TFJ1" s="110"/>
      <c r="TFK1" s="110"/>
      <c r="TFL1" s="110"/>
      <c r="TFM1" s="110"/>
      <c r="TFN1" s="110"/>
      <c r="TFO1" s="110"/>
      <c r="TFP1" s="110"/>
      <c r="TFQ1" s="110"/>
      <c r="TFR1" s="110"/>
      <c r="TFS1" s="110"/>
      <c r="TFT1" s="110"/>
      <c r="TFU1" s="110"/>
      <c r="TFV1" s="110"/>
      <c r="TFW1" s="110"/>
      <c r="TFX1" s="110"/>
      <c r="TFY1" s="110"/>
      <c r="TFZ1" s="110"/>
      <c r="TGA1" s="110"/>
      <c r="TGB1" s="110"/>
      <c r="TGC1" s="110"/>
      <c r="TGD1" s="110"/>
      <c r="TGE1" s="110"/>
      <c r="TGF1" s="110"/>
      <c r="TGG1" s="110"/>
      <c r="TGH1" s="110"/>
      <c r="TGI1" s="110"/>
      <c r="TGJ1" s="110"/>
      <c r="TGK1" s="110"/>
      <c r="TGL1" s="110"/>
      <c r="TGM1" s="110"/>
      <c r="TGN1" s="110"/>
      <c r="TGO1" s="110"/>
      <c r="TGP1" s="110"/>
      <c r="TGQ1" s="110"/>
      <c r="TGR1" s="110"/>
      <c r="TGS1" s="110"/>
      <c r="TGT1" s="110"/>
      <c r="TGU1" s="110"/>
      <c r="TGV1" s="110"/>
      <c r="TGW1" s="110"/>
      <c r="TGX1" s="110"/>
      <c r="TGY1" s="110"/>
      <c r="TGZ1" s="110"/>
      <c r="THA1" s="110"/>
      <c r="THB1" s="110"/>
      <c r="THC1" s="110"/>
      <c r="THD1" s="110"/>
      <c r="THE1" s="110"/>
      <c r="THF1" s="110"/>
      <c r="THG1" s="110"/>
      <c r="THH1" s="110"/>
      <c r="THI1" s="110"/>
      <c r="THJ1" s="110"/>
      <c r="THK1" s="110"/>
      <c r="THL1" s="110"/>
      <c r="THM1" s="110"/>
      <c r="THN1" s="110"/>
      <c r="THO1" s="110"/>
      <c r="THP1" s="110"/>
      <c r="THQ1" s="110"/>
      <c r="THR1" s="110"/>
      <c r="THS1" s="110"/>
      <c r="THT1" s="110"/>
      <c r="THU1" s="110"/>
      <c r="THV1" s="110"/>
      <c r="THW1" s="110"/>
      <c r="THX1" s="110"/>
      <c r="THY1" s="110"/>
      <c r="THZ1" s="110"/>
      <c r="TIA1" s="110"/>
      <c r="TIB1" s="110"/>
      <c r="TIC1" s="110"/>
      <c r="TID1" s="110"/>
      <c r="TIE1" s="110"/>
      <c r="TIF1" s="110"/>
      <c r="TIG1" s="110"/>
      <c r="TIH1" s="110"/>
      <c r="TII1" s="110"/>
      <c r="TIJ1" s="110"/>
      <c r="TIK1" s="110"/>
      <c r="TIL1" s="110"/>
      <c r="TIM1" s="110"/>
      <c r="TIN1" s="110"/>
      <c r="TIO1" s="110"/>
      <c r="TIP1" s="110"/>
      <c r="TIQ1" s="110"/>
      <c r="TIR1" s="110"/>
      <c r="TIS1" s="110"/>
      <c r="TIT1" s="110"/>
      <c r="TIU1" s="110"/>
      <c r="TIV1" s="110"/>
      <c r="TIW1" s="110"/>
      <c r="TIX1" s="110"/>
      <c r="TIY1" s="110"/>
      <c r="TIZ1" s="110"/>
      <c r="TJA1" s="110"/>
      <c r="TJB1" s="110"/>
      <c r="TJC1" s="110"/>
      <c r="TJD1" s="110"/>
      <c r="TJE1" s="110"/>
      <c r="TJF1" s="110"/>
      <c r="TJG1" s="110"/>
      <c r="TJH1" s="110"/>
      <c r="TJI1" s="110"/>
      <c r="TJJ1" s="110"/>
      <c r="TJK1" s="110"/>
      <c r="TJL1" s="110"/>
      <c r="TJM1" s="110"/>
      <c r="TJN1" s="110"/>
      <c r="TJO1" s="110"/>
      <c r="TJP1" s="110"/>
      <c r="TJQ1" s="110"/>
      <c r="TJR1" s="110"/>
      <c r="TJS1" s="110"/>
      <c r="TJT1" s="110"/>
      <c r="TJU1" s="110"/>
      <c r="TJV1" s="110"/>
      <c r="TJW1" s="110"/>
      <c r="TJX1" s="110"/>
      <c r="TJY1" s="110"/>
      <c r="TJZ1" s="110"/>
      <c r="TKA1" s="110"/>
      <c r="TKB1" s="110"/>
      <c r="TKC1" s="110"/>
      <c r="TKD1" s="110"/>
      <c r="TKE1" s="110"/>
      <c r="TKF1" s="110"/>
      <c r="TKG1" s="110"/>
      <c r="TKH1" s="110"/>
      <c r="TKI1" s="110"/>
      <c r="TKJ1" s="110"/>
      <c r="TKK1" s="110"/>
      <c r="TKL1" s="110"/>
      <c r="TKM1" s="110"/>
      <c r="TKN1" s="110"/>
      <c r="TKO1" s="110"/>
      <c r="TKP1" s="110"/>
      <c r="TKQ1" s="110"/>
      <c r="TKR1" s="110"/>
      <c r="TKS1" s="110"/>
      <c r="TKT1" s="110"/>
      <c r="TKU1" s="110"/>
      <c r="TKV1" s="110"/>
      <c r="TKW1" s="110"/>
      <c r="TKX1" s="110"/>
      <c r="TKY1" s="110"/>
      <c r="TKZ1" s="110"/>
      <c r="TLA1" s="110"/>
      <c r="TLB1" s="110"/>
      <c r="TLC1" s="110"/>
      <c r="TLD1" s="110"/>
      <c r="TLE1" s="110"/>
      <c r="TLF1" s="110"/>
      <c r="TLG1" s="110"/>
      <c r="TLH1" s="110"/>
      <c r="TLI1" s="110"/>
      <c r="TLJ1" s="110"/>
      <c r="TLK1" s="110"/>
      <c r="TLL1" s="110"/>
      <c r="TLM1" s="110"/>
      <c r="TLN1" s="110"/>
      <c r="TLO1" s="110"/>
      <c r="TLP1" s="110"/>
      <c r="TLQ1" s="110"/>
      <c r="TLR1" s="110"/>
      <c r="TLS1" s="110"/>
      <c r="TLT1" s="110"/>
      <c r="TLU1" s="110"/>
      <c r="TLV1" s="110"/>
      <c r="TLW1" s="110"/>
      <c r="TLX1" s="110"/>
      <c r="TLY1" s="110"/>
      <c r="TLZ1" s="110"/>
      <c r="TMA1" s="110"/>
      <c r="TMB1" s="110"/>
      <c r="TMC1" s="110"/>
      <c r="TMD1" s="110"/>
      <c r="TME1" s="110"/>
      <c r="TMF1" s="110"/>
      <c r="TMG1" s="110"/>
      <c r="TMH1" s="110"/>
      <c r="TMI1" s="110"/>
      <c r="TMJ1" s="110"/>
      <c r="TMK1" s="110"/>
      <c r="TML1" s="110"/>
      <c r="TMM1" s="110"/>
      <c r="TMN1" s="110"/>
      <c r="TMO1" s="110"/>
      <c r="TMP1" s="110"/>
      <c r="TMQ1" s="110"/>
      <c r="TMR1" s="110"/>
      <c r="TMS1" s="110"/>
      <c r="TMT1" s="110"/>
      <c r="TMU1" s="110"/>
      <c r="TMV1" s="110"/>
      <c r="TMW1" s="110"/>
      <c r="TMX1" s="110"/>
      <c r="TMY1" s="110"/>
      <c r="TMZ1" s="110"/>
      <c r="TNA1" s="110"/>
      <c r="TNB1" s="110"/>
      <c r="TNC1" s="110"/>
      <c r="TND1" s="110"/>
      <c r="TNE1" s="110"/>
      <c r="TNF1" s="110"/>
      <c r="TNG1" s="110"/>
      <c r="TNH1" s="110"/>
      <c r="TNI1" s="110"/>
      <c r="TNJ1" s="110"/>
      <c r="TNK1" s="110"/>
      <c r="TNL1" s="110"/>
      <c r="TNM1" s="110"/>
      <c r="TNN1" s="110"/>
      <c r="TNO1" s="110"/>
      <c r="TNP1" s="110"/>
      <c r="TNQ1" s="110"/>
      <c r="TNR1" s="110"/>
      <c r="TNS1" s="110"/>
      <c r="TNT1" s="110"/>
      <c r="TNU1" s="110"/>
      <c r="TNV1" s="110"/>
      <c r="TNW1" s="110"/>
      <c r="TNX1" s="110"/>
      <c r="TNY1" s="110"/>
      <c r="TNZ1" s="110"/>
      <c r="TOA1" s="110"/>
      <c r="TOB1" s="110"/>
      <c r="TOC1" s="110"/>
      <c r="TOD1" s="110"/>
      <c r="TOE1" s="110"/>
      <c r="TOF1" s="110"/>
      <c r="TOG1" s="110"/>
      <c r="TOH1" s="110"/>
      <c r="TOI1" s="110"/>
      <c r="TOJ1" s="110"/>
      <c r="TOK1" s="110"/>
      <c r="TOL1" s="110"/>
      <c r="TOM1" s="110"/>
      <c r="TON1" s="110"/>
      <c r="TOO1" s="110"/>
      <c r="TOP1" s="110"/>
      <c r="TOQ1" s="110"/>
      <c r="TOR1" s="110"/>
      <c r="TOS1" s="110"/>
      <c r="TOT1" s="110"/>
      <c r="TOU1" s="110"/>
      <c r="TOV1" s="110"/>
      <c r="TOW1" s="110"/>
      <c r="TOX1" s="110"/>
      <c r="TOY1" s="110"/>
      <c r="TOZ1" s="110"/>
      <c r="TPA1" s="110"/>
      <c r="TPB1" s="110"/>
      <c r="TPC1" s="110"/>
      <c r="TPD1" s="110"/>
      <c r="TPE1" s="110"/>
      <c r="TPF1" s="110"/>
      <c r="TPG1" s="110"/>
      <c r="TPH1" s="110"/>
      <c r="TPI1" s="110"/>
      <c r="TPJ1" s="110"/>
      <c r="TPK1" s="110"/>
      <c r="TPL1" s="110"/>
      <c r="TPM1" s="110"/>
      <c r="TPN1" s="110"/>
      <c r="TPO1" s="110"/>
      <c r="TPP1" s="110"/>
      <c r="TPQ1" s="110"/>
      <c r="TPR1" s="110"/>
      <c r="TPS1" s="110"/>
      <c r="TPT1" s="110"/>
      <c r="TPU1" s="110"/>
      <c r="TPV1" s="110"/>
      <c r="TPW1" s="110"/>
      <c r="TPX1" s="110"/>
      <c r="TPY1" s="110"/>
      <c r="TPZ1" s="110"/>
      <c r="TQA1" s="110"/>
      <c r="TQB1" s="110"/>
      <c r="TQC1" s="110"/>
      <c r="TQD1" s="110"/>
      <c r="TQE1" s="110"/>
      <c r="TQF1" s="110"/>
      <c r="TQG1" s="110"/>
      <c r="TQH1" s="110"/>
      <c r="TQI1" s="110"/>
      <c r="TQJ1" s="110"/>
      <c r="TQK1" s="110"/>
      <c r="TQL1" s="110"/>
      <c r="TQM1" s="110"/>
      <c r="TQN1" s="110"/>
      <c r="TQO1" s="110"/>
      <c r="TQP1" s="110"/>
      <c r="TQQ1" s="110"/>
      <c r="TQR1" s="110"/>
      <c r="TQS1" s="110"/>
      <c r="TQT1" s="110"/>
      <c r="TQU1" s="110"/>
      <c r="TQV1" s="110"/>
      <c r="TQW1" s="110"/>
      <c r="TQX1" s="110"/>
      <c r="TQY1" s="110"/>
      <c r="TQZ1" s="110"/>
      <c r="TRA1" s="110"/>
      <c r="TRB1" s="110"/>
      <c r="TRC1" s="110"/>
      <c r="TRD1" s="110"/>
      <c r="TRE1" s="110"/>
      <c r="TRF1" s="110"/>
      <c r="TRG1" s="110"/>
      <c r="TRH1" s="110"/>
      <c r="TRI1" s="110"/>
      <c r="TRJ1" s="110"/>
      <c r="TRK1" s="110"/>
      <c r="TRL1" s="110"/>
      <c r="TRM1" s="110"/>
      <c r="TRN1" s="110"/>
      <c r="TRO1" s="110"/>
      <c r="TRP1" s="110"/>
      <c r="TRQ1" s="110"/>
      <c r="TRR1" s="110"/>
      <c r="TRS1" s="110"/>
      <c r="TRT1" s="110"/>
      <c r="TRU1" s="110"/>
      <c r="TRV1" s="110"/>
      <c r="TRW1" s="110"/>
      <c r="TRX1" s="110"/>
      <c r="TRY1" s="110"/>
      <c r="TRZ1" s="110"/>
      <c r="TSA1" s="110"/>
      <c r="TSB1" s="110"/>
      <c r="TSC1" s="110"/>
      <c r="TSD1" s="110"/>
      <c r="TSE1" s="110"/>
      <c r="TSF1" s="110"/>
      <c r="TSG1" s="110"/>
      <c r="TSH1" s="110"/>
      <c r="TSI1" s="110"/>
      <c r="TSJ1" s="110"/>
      <c r="TSK1" s="110"/>
      <c r="TSL1" s="110"/>
      <c r="TSM1" s="110"/>
      <c r="TSN1" s="110"/>
      <c r="TSO1" s="110"/>
      <c r="TSP1" s="110"/>
      <c r="TSQ1" s="110"/>
      <c r="TSR1" s="110"/>
      <c r="TSS1" s="110"/>
      <c r="TST1" s="110"/>
      <c r="TSU1" s="110"/>
      <c r="TSV1" s="110"/>
      <c r="TSW1" s="110"/>
      <c r="TSX1" s="110"/>
      <c r="TSY1" s="110"/>
      <c r="TSZ1" s="110"/>
      <c r="TTA1" s="110"/>
      <c r="TTB1" s="110"/>
      <c r="TTC1" s="110"/>
      <c r="TTD1" s="110"/>
      <c r="TTE1" s="110"/>
      <c r="TTF1" s="110"/>
      <c r="TTG1" s="110"/>
      <c r="TTH1" s="110"/>
      <c r="TTI1" s="110"/>
      <c r="TTJ1" s="110"/>
      <c r="TTK1" s="110"/>
      <c r="TTL1" s="110"/>
      <c r="TTM1" s="110"/>
      <c r="TTN1" s="110"/>
      <c r="TTO1" s="110"/>
      <c r="TTP1" s="110"/>
      <c r="TTQ1" s="110"/>
      <c r="TTR1" s="110"/>
      <c r="TTS1" s="110"/>
      <c r="TTT1" s="110"/>
      <c r="TTU1" s="110"/>
      <c r="TTV1" s="110"/>
      <c r="TTW1" s="110"/>
      <c r="TTX1" s="110"/>
      <c r="TTY1" s="110"/>
      <c r="TTZ1" s="110"/>
      <c r="TUA1" s="110"/>
      <c r="TUB1" s="110"/>
      <c r="TUC1" s="110"/>
      <c r="TUD1" s="110"/>
      <c r="TUE1" s="110"/>
      <c r="TUF1" s="110"/>
      <c r="TUG1" s="110"/>
      <c r="TUH1" s="110"/>
      <c r="TUI1" s="110"/>
      <c r="TUJ1" s="110"/>
      <c r="TUK1" s="110"/>
      <c r="TUL1" s="110"/>
      <c r="TUM1" s="110"/>
      <c r="TUN1" s="110"/>
      <c r="TUO1" s="110"/>
      <c r="TUP1" s="110"/>
      <c r="TUQ1" s="110"/>
      <c r="TUR1" s="110"/>
      <c r="TUS1" s="110"/>
      <c r="TUT1" s="110"/>
      <c r="TUU1" s="110"/>
      <c r="TUV1" s="110"/>
      <c r="TUW1" s="110"/>
      <c r="TUX1" s="110"/>
      <c r="TUY1" s="110"/>
      <c r="TUZ1" s="110"/>
      <c r="TVA1" s="110"/>
      <c r="TVB1" s="110"/>
      <c r="TVC1" s="110"/>
      <c r="TVD1" s="110"/>
      <c r="TVE1" s="110"/>
      <c r="TVF1" s="110"/>
      <c r="TVG1" s="110"/>
      <c r="TVH1" s="110"/>
      <c r="TVI1" s="110"/>
      <c r="TVJ1" s="110"/>
      <c r="TVK1" s="110"/>
      <c r="TVL1" s="110"/>
      <c r="TVM1" s="110"/>
      <c r="TVN1" s="110"/>
      <c r="TVO1" s="110"/>
      <c r="TVP1" s="110"/>
      <c r="TVQ1" s="110"/>
      <c r="TVR1" s="110"/>
      <c r="TVS1" s="110"/>
      <c r="TVT1" s="110"/>
      <c r="TVU1" s="110"/>
      <c r="TVV1" s="110"/>
      <c r="TVW1" s="110"/>
      <c r="TVX1" s="110"/>
      <c r="TVY1" s="110"/>
      <c r="TVZ1" s="110"/>
      <c r="TWA1" s="110"/>
      <c r="TWB1" s="110"/>
      <c r="TWC1" s="110"/>
      <c r="TWD1" s="110"/>
      <c r="TWE1" s="110"/>
      <c r="TWF1" s="110"/>
      <c r="TWG1" s="110"/>
      <c r="TWH1" s="110"/>
      <c r="TWI1" s="110"/>
      <c r="TWJ1" s="110"/>
      <c r="TWK1" s="110"/>
      <c r="TWL1" s="110"/>
      <c r="TWM1" s="110"/>
      <c r="TWN1" s="110"/>
      <c r="TWO1" s="110"/>
      <c r="TWP1" s="110"/>
      <c r="TWQ1" s="110"/>
      <c r="TWR1" s="110"/>
      <c r="TWS1" s="110"/>
      <c r="TWT1" s="110"/>
      <c r="TWU1" s="110"/>
      <c r="TWV1" s="110"/>
      <c r="TWW1" s="110"/>
      <c r="TWX1" s="110"/>
      <c r="TWY1" s="110"/>
      <c r="TWZ1" s="110"/>
      <c r="TXA1" s="110"/>
      <c r="TXB1" s="110"/>
      <c r="TXC1" s="110"/>
      <c r="TXD1" s="110"/>
      <c r="TXE1" s="110"/>
      <c r="TXF1" s="110"/>
      <c r="TXG1" s="110"/>
      <c r="TXH1" s="110"/>
      <c r="TXI1" s="110"/>
      <c r="TXJ1" s="110"/>
      <c r="TXK1" s="110"/>
      <c r="TXL1" s="110"/>
      <c r="TXM1" s="110"/>
      <c r="TXN1" s="110"/>
      <c r="TXO1" s="110"/>
      <c r="TXP1" s="110"/>
      <c r="TXQ1" s="110"/>
      <c r="TXR1" s="110"/>
      <c r="TXS1" s="110"/>
      <c r="TXT1" s="110"/>
      <c r="TXU1" s="110"/>
      <c r="TXV1" s="110"/>
      <c r="TXW1" s="110"/>
      <c r="TXX1" s="110"/>
      <c r="TXY1" s="110"/>
      <c r="TXZ1" s="110"/>
      <c r="TYA1" s="110"/>
      <c r="TYB1" s="110"/>
      <c r="TYC1" s="110"/>
      <c r="TYD1" s="110"/>
      <c r="TYE1" s="110"/>
      <c r="TYF1" s="110"/>
      <c r="TYG1" s="110"/>
      <c r="TYH1" s="110"/>
      <c r="TYI1" s="110"/>
      <c r="TYJ1" s="110"/>
      <c r="TYK1" s="110"/>
      <c r="TYL1" s="110"/>
      <c r="TYM1" s="110"/>
      <c r="TYN1" s="110"/>
      <c r="TYO1" s="110"/>
      <c r="TYP1" s="110"/>
      <c r="TYQ1" s="110"/>
      <c r="TYR1" s="110"/>
      <c r="TYS1" s="110"/>
      <c r="TYT1" s="110"/>
      <c r="TYU1" s="110"/>
      <c r="TYV1" s="110"/>
      <c r="TYW1" s="110"/>
      <c r="TYX1" s="110"/>
      <c r="TYY1" s="110"/>
      <c r="TYZ1" s="110"/>
      <c r="TZA1" s="110"/>
      <c r="TZB1" s="110"/>
      <c r="TZC1" s="110"/>
      <c r="TZD1" s="110"/>
      <c r="TZE1" s="110"/>
      <c r="TZF1" s="110"/>
      <c r="TZG1" s="110"/>
      <c r="TZH1" s="110"/>
      <c r="TZI1" s="110"/>
      <c r="TZJ1" s="110"/>
      <c r="TZK1" s="110"/>
      <c r="TZL1" s="110"/>
      <c r="TZM1" s="110"/>
      <c r="TZN1" s="110"/>
      <c r="TZO1" s="110"/>
      <c r="TZP1" s="110"/>
      <c r="TZQ1" s="110"/>
      <c r="TZR1" s="110"/>
      <c r="TZS1" s="110"/>
      <c r="TZT1" s="110"/>
      <c r="TZU1" s="110"/>
      <c r="TZV1" s="110"/>
      <c r="TZW1" s="110"/>
      <c r="TZX1" s="110"/>
      <c r="TZY1" s="110"/>
      <c r="TZZ1" s="110"/>
      <c r="UAA1" s="110"/>
      <c r="UAB1" s="110"/>
      <c r="UAC1" s="110"/>
      <c r="UAD1" s="110"/>
      <c r="UAE1" s="110"/>
      <c r="UAF1" s="110"/>
      <c r="UAG1" s="110"/>
      <c r="UAH1" s="110"/>
      <c r="UAI1" s="110"/>
      <c r="UAJ1" s="110"/>
      <c r="UAK1" s="110"/>
      <c r="UAL1" s="110"/>
      <c r="UAM1" s="110"/>
      <c r="UAN1" s="110"/>
      <c r="UAO1" s="110"/>
      <c r="UAP1" s="110"/>
      <c r="UAQ1" s="110"/>
      <c r="UAR1" s="110"/>
      <c r="UAS1" s="110"/>
      <c r="UAT1" s="110"/>
      <c r="UAU1" s="110"/>
      <c r="UAV1" s="110"/>
      <c r="UAW1" s="110"/>
      <c r="UAX1" s="110"/>
      <c r="UAY1" s="110"/>
      <c r="UAZ1" s="110"/>
      <c r="UBA1" s="110"/>
      <c r="UBB1" s="110"/>
      <c r="UBC1" s="110"/>
      <c r="UBD1" s="110"/>
      <c r="UBE1" s="110"/>
      <c r="UBF1" s="110"/>
      <c r="UBG1" s="110"/>
      <c r="UBH1" s="110"/>
      <c r="UBI1" s="110"/>
      <c r="UBJ1" s="110"/>
      <c r="UBK1" s="110"/>
      <c r="UBL1" s="110"/>
      <c r="UBM1" s="110"/>
      <c r="UBN1" s="110"/>
      <c r="UBO1" s="110"/>
      <c r="UBP1" s="110"/>
      <c r="UBQ1" s="110"/>
      <c r="UBR1" s="110"/>
      <c r="UBS1" s="110"/>
      <c r="UBT1" s="110"/>
      <c r="UBU1" s="110"/>
      <c r="UBV1" s="110"/>
      <c r="UBW1" s="110"/>
      <c r="UBX1" s="110"/>
      <c r="UBY1" s="110"/>
      <c r="UBZ1" s="110"/>
      <c r="UCA1" s="110"/>
      <c r="UCB1" s="110"/>
      <c r="UCC1" s="110"/>
      <c r="UCD1" s="110"/>
      <c r="UCE1" s="110"/>
      <c r="UCF1" s="110"/>
      <c r="UCG1" s="110"/>
      <c r="UCH1" s="110"/>
      <c r="UCI1" s="110"/>
      <c r="UCJ1" s="110"/>
      <c r="UCK1" s="110"/>
      <c r="UCL1" s="110"/>
      <c r="UCM1" s="110"/>
      <c r="UCN1" s="110"/>
      <c r="UCO1" s="110"/>
      <c r="UCP1" s="110"/>
      <c r="UCQ1" s="110"/>
      <c r="UCR1" s="110"/>
      <c r="UCS1" s="110"/>
      <c r="UCT1" s="110"/>
      <c r="UCU1" s="110"/>
      <c r="UCV1" s="110"/>
      <c r="UCW1" s="110"/>
      <c r="UCX1" s="110"/>
      <c r="UCY1" s="110"/>
      <c r="UCZ1" s="110"/>
      <c r="UDA1" s="110"/>
      <c r="UDB1" s="110"/>
      <c r="UDC1" s="110"/>
      <c r="UDD1" s="110"/>
      <c r="UDE1" s="110"/>
      <c r="UDF1" s="110"/>
      <c r="UDG1" s="110"/>
      <c r="UDH1" s="110"/>
      <c r="UDI1" s="110"/>
      <c r="UDJ1" s="110"/>
      <c r="UDK1" s="110"/>
      <c r="UDL1" s="110"/>
      <c r="UDM1" s="110"/>
      <c r="UDN1" s="110"/>
      <c r="UDO1" s="110"/>
      <c r="UDP1" s="110"/>
      <c r="UDQ1" s="110"/>
      <c r="UDR1" s="110"/>
      <c r="UDS1" s="110"/>
      <c r="UDT1" s="110"/>
      <c r="UDU1" s="110"/>
      <c r="UDV1" s="110"/>
      <c r="UDW1" s="110"/>
      <c r="UDX1" s="110"/>
      <c r="UDY1" s="110"/>
      <c r="UDZ1" s="110"/>
      <c r="UEA1" s="110"/>
      <c r="UEB1" s="110"/>
      <c r="UEC1" s="110"/>
      <c r="UED1" s="110"/>
      <c r="UEE1" s="110"/>
      <c r="UEF1" s="110"/>
      <c r="UEG1" s="110"/>
      <c r="UEH1" s="110"/>
      <c r="UEI1" s="110"/>
      <c r="UEJ1" s="110"/>
      <c r="UEK1" s="110"/>
      <c r="UEL1" s="110"/>
      <c r="UEM1" s="110"/>
      <c r="UEN1" s="110"/>
      <c r="UEO1" s="110"/>
      <c r="UEP1" s="110"/>
      <c r="UEQ1" s="110"/>
      <c r="UER1" s="110"/>
      <c r="UES1" s="110"/>
      <c r="UET1" s="110"/>
      <c r="UEU1" s="110"/>
      <c r="UEV1" s="110"/>
      <c r="UEW1" s="110"/>
      <c r="UEX1" s="110"/>
      <c r="UEY1" s="110"/>
      <c r="UEZ1" s="110"/>
      <c r="UFA1" s="110"/>
      <c r="UFB1" s="110"/>
      <c r="UFC1" s="110"/>
      <c r="UFD1" s="110"/>
      <c r="UFE1" s="110"/>
      <c r="UFF1" s="110"/>
      <c r="UFG1" s="110"/>
      <c r="UFH1" s="110"/>
      <c r="UFI1" s="110"/>
      <c r="UFJ1" s="110"/>
      <c r="UFK1" s="110"/>
      <c r="UFL1" s="110"/>
      <c r="UFM1" s="110"/>
      <c r="UFN1" s="110"/>
      <c r="UFO1" s="110"/>
      <c r="UFP1" s="110"/>
      <c r="UFQ1" s="110"/>
      <c r="UFR1" s="110"/>
      <c r="UFS1" s="110"/>
      <c r="UFT1" s="110"/>
      <c r="UFU1" s="110"/>
      <c r="UFV1" s="110"/>
      <c r="UFW1" s="110"/>
      <c r="UFX1" s="110"/>
      <c r="UFY1" s="110"/>
      <c r="UFZ1" s="110"/>
      <c r="UGA1" s="110"/>
      <c r="UGB1" s="110"/>
      <c r="UGC1" s="110"/>
      <c r="UGD1" s="110"/>
      <c r="UGE1" s="110"/>
      <c r="UGF1" s="110"/>
      <c r="UGG1" s="110"/>
      <c r="UGH1" s="110"/>
      <c r="UGI1" s="110"/>
      <c r="UGJ1" s="110"/>
      <c r="UGK1" s="110"/>
      <c r="UGL1" s="110"/>
      <c r="UGM1" s="110"/>
      <c r="UGN1" s="110"/>
      <c r="UGO1" s="110"/>
      <c r="UGP1" s="110"/>
      <c r="UGQ1" s="110"/>
      <c r="UGR1" s="110"/>
      <c r="UGS1" s="110"/>
      <c r="UGT1" s="110"/>
      <c r="UGU1" s="110"/>
      <c r="UGV1" s="110"/>
      <c r="UGW1" s="110"/>
      <c r="UGX1" s="110"/>
      <c r="UGY1" s="110"/>
      <c r="UGZ1" s="110"/>
      <c r="UHA1" s="110"/>
      <c r="UHB1" s="110"/>
      <c r="UHC1" s="110"/>
      <c r="UHD1" s="110"/>
      <c r="UHE1" s="110"/>
      <c r="UHF1" s="110"/>
      <c r="UHG1" s="110"/>
      <c r="UHH1" s="110"/>
      <c r="UHI1" s="110"/>
      <c r="UHJ1" s="110"/>
      <c r="UHK1" s="110"/>
      <c r="UHL1" s="110"/>
      <c r="UHM1" s="110"/>
      <c r="UHN1" s="110"/>
      <c r="UHO1" s="110"/>
      <c r="UHP1" s="110"/>
      <c r="UHQ1" s="110"/>
      <c r="UHR1" s="110"/>
      <c r="UHS1" s="110"/>
      <c r="UHT1" s="110"/>
      <c r="UHU1" s="110"/>
      <c r="UHV1" s="110"/>
      <c r="UHW1" s="110"/>
      <c r="UHX1" s="110"/>
      <c r="UHY1" s="110"/>
      <c r="UHZ1" s="110"/>
      <c r="UIA1" s="110"/>
      <c r="UIB1" s="110"/>
      <c r="UIC1" s="110"/>
      <c r="UID1" s="110"/>
      <c r="UIE1" s="110"/>
      <c r="UIF1" s="110"/>
      <c r="UIG1" s="110"/>
      <c r="UIH1" s="110"/>
      <c r="UII1" s="110"/>
      <c r="UIJ1" s="110"/>
      <c r="UIK1" s="110"/>
      <c r="UIL1" s="110"/>
      <c r="UIM1" s="110"/>
      <c r="UIN1" s="110"/>
      <c r="UIO1" s="110"/>
      <c r="UIP1" s="110"/>
      <c r="UIQ1" s="110"/>
      <c r="UIR1" s="110"/>
      <c r="UIS1" s="110"/>
      <c r="UIT1" s="110"/>
      <c r="UIU1" s="110"/>
      <c r="UIV1" s="110"/>
      <c r="UIW1" s="110"/>
      <c r="UIX1" s="110"/>
      <c r="UIY1" s="110"/>
      <c r="UIZ1" s="110"/>
      <c r="UJA1" s="110"/>
      <c r="UJB1" s="110"/>
      <c r="UJC1" s="110"/>
      <c r="UJD1" s="110"/>
      <c r="UJE1" s="110"/>
      <c r="UJF1" s="110"/>
      <c r="UJG1" s="110"/>
      <c r="UJH1" s="110"/>
      <c r="UJI1" s="110"/>
      <c r="UJJ1" s="110"/>
      <c r="UJK1" s="110"/>
      <c r="UJL1" s="110"/>
      <c r="UJM1" s="110"/>
      <c r="UJN1" s="110"/>
      <c r="UJO1" s="110"/>
      <c r="UJP1" s="110"/>
      <c r="UJQ1" s="110"/>
      <c r="UJR1" s="110"/>
      <c r="UJS1" s="110"/>
      <c r="UJT1" s="110"/>
      <c r="UJU1" s="110"/>
      <c r="UJV1" s="110"/>
      <c r="UJW1" s="110"/>
      <c r="UJX1" s="110"/>
      <c r="UJY1" s="110"/>
      <c r="UJZ1" s="110"/>
      <c r="UKA1" s="110"/>
      <c r="UKB1" s="110"/>
      <c r="UKC1" s="110"/>
      <c r="UKD1" s="110"/>
      <c r="UKE1" s="110"/>
      <c r="UKF1" s="110"/>
      <c r="UKG1" s="110"/>
      <c r="UKH1" s="110"/>
      <c r="UKI1" s="110"/>
      <c r="UKJ1" s="110"/>
      <c r="UKK1" s="110"/>
      <c r="UKL1" s="110"/>
      <c r="UKM1" s="110"/>
      <c r="UKN1" s="110"/>
      <c r="UKO1" s="110"/>
      <c r="UKP1" s="110"/>
      <c r="UKQ1" s="110"/>
      <c r="UKR1" s="110"/>
      <c r="UKS1" s="110"/>
      <c r="UKT1" s="110"/>
      <c r="UKU1" s="110"/>
      <c r="UKV1" s="110"/>
      <c r="UKW1" s="110"/>
      <c r="UKX1" s="110"/>
      <c r="UKY1" s="110"/>
      <c r="UKZ1" s="110"/>
      <c r="ULA1" s="110"/>
      <c r="ULB1" s="110"/>
      <c r="ULC1" s="110"/>
      <c r="ULD1" s="110"/>
      <c r="ULE1" s="110"/>
      <c r="ULF1" s="110"/>
      <c r="ULG1" s="110"/>
      <c r="ULH1" s="110"/>
      <c r="ULI1" s="110"/>
      <c r="ULJ1" s="110"/>
      <c r="ULK1" s="110"/>
      <c r="ULL1" s="110"/>
      <c r="ULM1" s="110"/>
      <c r="ULN1" s="110"/>
      <c r="ULO1" s="110"/>
      <c r="ULP1" s="110"/>
      <c r="ULQ1" s="110"/>
      <c r="ULR1" s="110"/>
      <c r="ULS1" s="110"/>
      <c r="ULT1" s="110"/>
      <c r="ULU1" s="110"/>
      <c r="ULV1" s="110"/>
      <c r="ULW1" s="110"/>
      <c r="ULX1" s="110"/>
      <c r="ULY1" s="110"/>
      <c r="ULZ1" s="110"/>
      <c r="UMA1" s="110"/>
      <c r="UMB1" s="110"/>
      <c r="UMC1" s="110"/>
      <c r="UMD1" s="110"/>
      <c r="UME1" s="110"/>
      <c r="UMF1" s="110"/>
      <c r="UMG1" s="110"/>
      <c r="UMH1" s="110"/>
      <c r="UMI1" s="110"/>
      <c r="UMJ1" s="110"/>
      <c r="UMK1" s="110"/>
      <c r="UML1" s="110"/>
      <c r="UMM1" s="110"/>
      <c r="UMN1" s="110"/>
      <c r="UMO1" s="110"/>
      <c r="UMP1" s="110"/>
      <c r="UMQ1" s="110"/>
      <c r="UMR1" s="110"/>
      <c r="UMS1" s="110"/>
      <c r="UMT1" s="110"/>
      <c r="UMU1" s="110"/>
      <c r="UMV1" s="110"/>
      <c r="UMW1" s="110"/>
      <c r="UMX1" s="110"/>
      <c r="UMY1" s="110"/>
      <c r="UMZ1" s="110"/>
      <c r="UNA1" s="110"/>
      <c r="UNB1" s="110"/>
      <c r="UNC1" s="110"/>
      <c r="UND1" s="110"/>
      <c r="UNE1" s="110"/>
      <c r="UNF1" s="110"/>
      <c r="UNG1" s="110"/>
      <c r="UNH1" s="110"/>
      <c r="UNI1" s="110"/>
      <c r="UNJ1" s="110"/>
      <c r="UNK1" s="110"/>
      <c r="UNL1" s="110"/>
      <c r="UNM1" s="110"/>
      <c r="UNN1" s="110"/>
      <c r="UNO1" s="110"/>
      <c r="UNP1" s="110"/>
      <c r="UNQ1" s="110"/>
      <c r="UNR1" s="110"/>
      <c r="UNS1" s="110"/>
      <c r="UNT1" s="110"/>
      <c r="UNU1" s="110"/>
      <c r="UNV1" s="110"/>
      <c r="UNW1" s="110"/>
      <c r="UNX1" s="110"/>
      <c r="UNY1" s="110"/>
      <c r="UNZ1" s="110"/>
      <c r="UOA1" s="110"/>
      <c r="UOB1" s="110"/>
      <c r="UOC1" s="110"/>
      <c r="UOD1" s="110"/>
      <c r="UOE1" s="110"/>
      <c r="UOF1" s="110"/>
      <c r="UOG1" s="110"/>
      <c r="UOH1" s="110"/>
      <c r="UOI1" s="110"/>
      <c r="UOJ1" s="110"/>
      <c r="UOK1" s="110"/>
      <c r="UOL1" s="110"/>
      <c r="UOM1" s="110"/>
      <c r="UON1" s="110"/>
      <c r="UOO1" s="110"/>
      <c r="UOP1" s="110"/>
      <c r="UOQ1" s="110"/>
      <c r="UOR1" s="110"/>
      <c r="UOS1" s="110"/>
      <c r="UOT1" s="110"/>
      <c r="UOU1" s="110"/>
      <c r="UOV1" s="110"/>
      <c r="UOW1" s="110"/>
      <c r="UOX1" s="110"/>
      <c r="UOY1" s="110"/>
      <c r="UOZ1" s="110"/>
      <c r="UPA1" s="110"/>
      <c r="UPB1" s="110"/>
      <c r="UPC1" s="110"/>
      <c r="UPD1" s="110"/>
      <c r="UPE1" s="110"/>
      <c r="UPF1" s="110"/>
      <c r="UPG1" s="110"/>
      <c r="UPH1" s="110"/>
      <c r="UPI1" s="110"/>
      <c r="UPJ1" s="110"/>
      <c r="UPK1" s="110"/>
      <c r="UPL1" s="110"/>
      <c r="UPM1" s="110"/>
      <c r="UPN1" s="110"/>
      <c r="UPO1" s="110"/>
      <c r="UPP1" s="110"/>
      <c r="UPQ1" s="110"/>
      <c r="UPR1" s="110"/>
      <c r="UPS1" s="110"/>
      <c r="UPT1" s="110"/>
      <c r="UPU1" s="110"/>
      <c r="UPV1" s="110"/>
      <c r="UPW1" s="110"/>
      <c r="UPX1" s="110"/>
      <c r="UPY1" s="110"/>
      <c r="UPZ1" s="110"/>
      <c r="UQA1" s="110"/>
      <c r="UQB1" s="110"/>
      <c r="UQC1" s="110"/>
      <c r="UQD1" s="110"/>
      <c r="UQE1" s="110"/>
      <c r="UQF1" s="110"/>
      <c r="UQG1" s="110"/>
      <c r="UQH1" s="110"/>
      <c r="UQI1" s="110"/>
      <c r="UQJ1" s="110"/>
      <c r="UQK1" s="110"/>
      <c r="UQL1" s="110"/>
      <c r="UQM1" s="110"/>
      <c r="UQN1" s="110"/>
      <c r="UQO1" s="110"/>
      <c r="UQP1" s="110"/>
      <c r="UQQ1" s="110"/>
      <c r="UQR1" s="110"/>
      <c r="UQS1" s="110"/>
      <c r="UQT1" s="110"/>
      <c r="UQU1" s="110"/>
      <c r="UQV1" s="110"/>
      <c r="UQW1" s="110"/>
      <c r="UQX1" s="110"/>
      <c r="UQY1" s="110"/>
      <c r="UQZ1" s="110"/>
      <c r="URA1" s="110"/>
      <c r="URB1" s="110"/>
      <c r="URC1" s="110"/>
      <c r="URD1" s="110"/>
      <c r="URE1" s="110"/>
      <c r="URF1" s="110"/>
      <c r="URG1" s="110"/>
      <c r="URH1" s="110"/>
      <c r="URI1" s="110"/>
      <c r="URJ1" s="110"/>
      <c r="URK1" s="110"/>
      <c r="URL1" s="110"/>
      <c r="URM1" s="110"/>
      <c r="URN1" s="110"/>
      <c r="URO1" s="110"/>
      <c r="URP1" s="110"/>
      <c r="URQ1" s="110"/>
      <c r="URR1" s="110"/>
      <c r="URS1" s="110"/>
      <c r="URT1" s="110"/>
      <c r="URU1" s="110"/>
      <c r="URV1" s="110"/>
      <c r="URW1" s="110"/>
      <c r="URX1" s="110"/>
      <c r="URY1" s="110"/>
      <c r="URZ1" s="110"/>
      <c r="USA1" s="110"/>
      <c r="USB1" s="110"/>
      <c r="USC1" s="110"/>
      <c r="USD1" s="110"/>
      <c r="USE1" s="110"/>
      <c r="USF1" s="110"/>
      <c r="USG1" s="110"/>
      <c r="USH1" s="110"/>
      <c r="USI1" s="110"/>
      <c r="USJ1" s="110"/>
      <c r="USK1" s="110"/>
      <c r="USL1" s="110"/>
      <c r="USM1" s="110"/>
      <c r="USN1" s="110"/>
      <c r="USO1" s="110"/>
      <c r="USP1" s="110"/>
      <c r="USQ1" s="110"/>
      <c r="USR1" s="110"/>
      <c r="USS1" s="110"/>
      <c r="UST1" s="110"/>
      <c r="USU1" s="110"/>
      <c r="USV1" s="110"/>
      <c r="USW1" s="110"/>
      <c r="USX1" s="110"/>
      <c r="USY1" s="110"/>
      <c r="USZ1" s="110"/>
      <c r="UTA1" s="110"/>
      <c r="UTB1" s="110"/>
      <c r="UTC1" s="110"/>
      <c r="UTD1" s="110"/>
      <c r="UTE1" s="110"/>
      <c r="UTF1" s="110"/>
      <c r="UTG1" s="110"/>
      <c r="UTH1" s="110"/>
      <c r="UTI1" s="110"/>
      <c r="UTJ1" s="110"/>
      <c r="UTK1" s="110"/>
      <c r="UTL1" s="110"/>
      <c r="UTM1" s="110"/>
      <c r="UTN1" s="110"/>
      <c r="UTO1" s="110"/>
      <c r="UTP1" s="110"/>
      <c r="UTQ1" s="110"/>
      <c r="UTR1" s="110"/>
      <c r="UTS1" s="110"/>
      <c r="UTT1" s="110"/>
      <c r="UTU1" s="110"/>
      <c r="UTV1" s="110"/>
      <c r="UTW1" s="110"/>
      <c r="UTX1" s="110"/>
      <c r="UTY1" s="110"/>
      <c r="UTZ1" s="110"/>
      <c r="UUA1" s="110"/>
      <c r="UUB1" s="110"/>
      <c r="UUC1" s="110"/>
      <c r="UUD1" s="110"/>
      <c r="UUE1" s="110"/>
      <c r="UUF1" s="110"/>
      <c r="UUG1" s="110"/>
      <c r="UUH1" s="110"/>
      <c r="UUI1" s="110"/>
      <c r="UUJ1" s="110"/>
      <c r="UUK1" s="110"/>
      <c r="UUL1" s="110"/>
      <c r="UUM1" s="110"/>
      <c r="UUN1" s="110"/>
      <c r="UUO1" s="110"/>
      <c r="UUP1" s="110"/>
      <c r="UUQ1" s="110"/>
      <c r="UUR1" s="110"/>
      <c r="UUS1" s="110"/>
      <c r="UUT1" s="110"/>
      <c r="UUU1" s="110"/>
      <c r="UUV1" s="110"/>
      <c r="UUW1" s="110"/>
      <c r="UUX1" s="110"/>
      <c r="UUY1" s="110"/>
      <c r="UUZ1" s="110"/>
      <c r="UVA1" s="110"/>
      <c r="UVB1" s="110"/>
      <c r="UVC1" s="110"/>
      <c r="UVD1" s="110"/>
      <c r="UVE1" s="110"/>
      <c r="UVF1" s="110"/>
      <c r="UVG1" s="110"/>
      <c r="UVH1" s="110"/>
      <c r="UVI1" s="110"/>
      <c r="UVJ1" s="110"/>
      <c r="UVK1" s="110"/>
      <c r="UVL1" s="110"/>
      <c r="UVM1" s="110"/>
      <c r="UVN1" s="110"/>
      <c r="UVO1" s="110"/>
      <c r="UVP1" s="110"/>
      <c r="UVQ1" s="110"/>
      <c r="UVR1" s="110"/>
      <c r="UVS1" s="110"/>
      <c r="UVT1" s="110"/>
      <c r="UVU1" s="110"/>
      <c r="UVV1" s="110"/>
      <c r="UVW1" s="110"/>
      <c r="UVX1" s="110"/>
      <c r="UVY1" s="110"/>
      <c r="UVZ1" s="110"/>
      <c r="UWA1" s="110"/>
      <c r="UWB1" s="110"/>
      <c r="UWC1" s="110"/>
      <c r="UWD1" s="110"/>
      <c r="UWE1" s="110"/>
      <c r="UWF1" s="110"/>
      <c r="UWG1" s="110"/>
      <c r="UWH1" s="110"/>
      <c r="UWI1" s="110"/>
      <c r="UWJ1" s="110"/>
      <c r="UWK1" s="110"/>
      <c r="UWL1" s="110"/>
      <c r="UWM1" s="110"/>
      <c r="UWN1" s="110"/>
      <c r="UWO1" s="110"/>
      <c r="UWP1" s="110"/>
      <c r="UWQ1" s="110"/>
      <c r="UWR1" s="110"/>
      <c r="UWS1" s="110"/>
      <c r="UWT1" s="110"/>
      <c r="UWU1" s="110"/>
      <c r="UWV1" s="110"/>
      <c r="UWW1" s="110"/>
      <c r="UWX1" s="110"/>
      <c r="UWY1" s="110"/>
      <c r="UWZ1" s="110"/>
      <c r="UXA1" s="110"/>
      <c r="UXB1" s="110"/>
      <c r="UXC1" s="110"/>
      <c r="UXD1" s="110"/>
      <c r="UXE1" s="110"/>
      <c r="UXF1" s="110"/>
      <c r="UXG1" s="110"/>
      <c r="UXH1" s="110"/>
      <c r="UXI1" s="110"/>
      <c r="UXJ1" s="110"/>
      <c r="UXK1" s="110"/>
      <c r="UXL1" s="110"/>
      <c r="UXM1" s="110"/>
      <c r="UXN1" s="110"/>
      <c r="UXO1" s="110"/>
      <c r="UXP1" s="110"/>
      <c r="UXQ1" s="110"/>
      <c r="UXR1" s="110"/>
      <c r="UXS1" s="110"/>
      <c r="UXT1" s="110"/>
      <c r="UXU1" s="110"/>
      <c r="UXV1" s="110"/>
      <c r="UXW1" s="110"/>
      <c r="UXX1" s="110"/>
      <c r="UXY1" s="110"/>
      <c r="UXZ1" s="110"/>
      <c r="UYA1" s="110"/>
      <c r="UYB1" s="110"/>
      <c r="UYC1" s="110"/>
      <c r="UYD1" s="110"/>
      <c r="UYE1" s="110"/>
      <c r="UYF1" s="110"/>
      <c r="UYG1" s="110"/>
      <c r="UYH1" s="110"/>
      <c r="UYI1" s="110"/>
      <c r="UYJ1" s="110"/>
      <c r="UYK1" s="110"/>
      <c r="UYL1" s="110"/>
      <c r="UYM1" s="110"/>
      <c r="UYN1" s="110"/>
      <c r="UYO1" s="110"/>
      <c r="UYP1" s="110"/>
      <c r="UYQ1" s="110"/>
      <c r="UYR1" s="110"/>
      <c r="UYS1" s="110"/>
      <c r="UYT1" s="110"/>
      <c r="UYU1" s="110"/>
      <c r="UYV1" s="110"/>
      <c r="UYW1" s="110"/>
      <c r="UYX1" s="110"/>
      <c r="UYY1" s="110"/>
      <c r="UYZ1" s="110"/>
      <c r="UZA1" s="110"/>
      <c r="UZB1" s="110"/>
      <c r="UZC1" s="110"/>
      <c r="UZD1" s="110"/>
      <c r="UZE1" s="110"/>
      <c r="UZF1" s="110"/>
      <c r="UZG1" s="110"/>
      <c r="UZH1" s="110"/>
      <c r="UZI1" s="110"/>
      <c r="UZJ1" s="110"/>
      <c r="UZK1" s="110"/>
      <c r="UZL1" s="110"/>
      <c r="UZM1" s="110"/>
      <c r="UZN1" s="110"/>
      <c r="UZO1" s="110"/>
      <c r="UZP1" s="110"/>
      <c r="UZQ1" s="110"/>
      <c r="UZR1" s="110"/>
      <c r="UZS1" s="110"/>
      <c r="UZT1" s="110"/>
      <c r="UZU1" s="110"/>
      <c r="UZV1" s="110"/>
      <c r="UZW1" s="110"/>
      <c r="UZX1" s="110"/>
      <c r="UZY1" s="110"/>
      <c r="UZZ1" s="110"/>
      <c r="VAA1" s="110"/>
      <c r="VAB1" s="110"/>
      <c r="VAC1" s="110"/>
      <c r="VAD1" s="110"/>
      <c r="VAE1" s="110"/>
      <c r="VAF1" s="110"/>
      <c r="VAG1" s="110"/>
      <c r="VAH1" s="110"/>
      <c r="VAI1" s="110"/>
      <c r="VAJ1" s="110"/>
      <c r="VAK1" s="110"/>
      <c r="VAL1" s="110"/>
      <c r="VAM1" s="110"/>
      <c r="VAN1" s="110"/>
      <c r="VAO1" s="110"/>
      <c r="VAP1" s="110"/>
      <c r="VAQ1" s="110"/>
      <c r="VAR1" s="110"/>
      <c r="VAS1" s="110"/>
      <c r="VAT1" s="110"/>
      <c r="VAU1" s="110"/>
      <c r="VAV1" s="110"/>
      <c r="VAW1" s="110"/>
      <c r="VAX1" s="110"/>
      <c r="VAY1" s="110"/>
      <c r="VAZ1" s="110"/>
      <c r="VBA1" s="110"/>
      <c r="VBB1" s="110"/>
      <c r="VBC1" s="110"/>
      <c r="VBD1" s="110"/>
      <c r="VBE1" s="110"/>
      <c r="VBF1" s="110"/>
      <c r="VBG1" s="110"/>
      <c r="VBH1" s="110"/>
      <c r="VBI1" s="110"/>
      <c r="VBJ1" s="110"/>
      <c r="VBK1" s="110"/>
      <c r="VBL1" s="110"/>
      <c r="VBM1" s="110"/>
      <c r="VBN1" s="110"/>
      <c r="VBO1" s="110"/>
      <c r="VBP1" s="110"/>
      <c r="VBQ1" s="110"/>
      <c r="VBR1" s="110"/>
      <c r="VBS1" s="110"/>
      <c r="VBT1" s="110"/>
      <c r="VBU1" s="110"/>
      <c r="VBV1" s="110"/>
      <c r="VBW1" s="110"/>
      <c r="VBX1" s="110"/>
      <c r="VBY1" s="110"/>
      <c r="VBZ1" s="110"/>
      <c r="VCA1" s="110"/>
      <c r="VCB1" s="110"/>
      <c r="VCC1" s="110"/>
      <c r="VCD1" s="110"/>
      <c r="VCE1" s="110"/>
      <c r="VCF1" s="110"/>
      <c r="VCG1" s="110"/>
      <c r="VCH1" s="110"/>
      <c r="VCI1" s="110"/>
      <c r="VCJ1" s="110"/>
      <c r="VCK1" s="110"/>
      <c r="VCL1" s="110"/>
      <c r="VCM1" s="110"/>
      <c r="VCN1" s="110"/>
      <c r="VCO1" s="110"/>
      <c r="VCP1" s="110"/>
      <c r="VCQ1" s="110"/>
      <c r="VCR1" s="110"/>
      <c r="VCS1" s="110"/>
      <c r="VCT1" s="110"/>
      <c r="VCU1" s="110"/>
      <c r="VCV1" s="110"/>
      <c r="VCW1" s="110"/>
      <c r="VCX1" s="110"/>
      <c r="VCY1" s="110"/>
      <c r="VCZ1" s="110"/>
      <c r="VDA1" s="110"/>
      <c r="VDB1" s="110"/>
      <c r="VDC1" s="110"/>
      <c r="VDD1" s="110"/>
      <c r="VDE1" s="110"/>
      <c r="VDF1" s="110"/>
      <c r="VDG1" s="110"/>
      <c r="VDH1" s="110"/>
      <c r="VDI1" s="110"/>
      <c r="VDJ1" s="110"/>
      <c r="VDK1" s="110"/>
      <c r="VDL1" s="110"/>
      <c r="VDM1" s="110"/>
      <c r="VDN1" s="110"/>
      <c r="VDO1" s="110"/>
      <c r="VDP1" s="110"/>
      <c r="VDQ1" s="110"/>
      <c r="VDR1" s="110"/>
      <c r="VDS1" s="110"/>
      <c r="VDT1" s="110"/>
      <c r="VDU1" s="110"/>
      <c r="VDV1" s="110"/>
      <c r="VDW1" s="110"/>
      <c r="VDX1" s="110"/>
      <c r="VDY1" s="110"/>
      <c r="VDZ1" s="110"/>
      <c r="VEA1" s="110"/>
      <c r="VEB1" s="110"/>
      <c r="VEC1" s="110"/>
      <c r="VED1" s="110"/>
      <c r="VEE1" s="110"/>
      <c r="VEF1" s="110"/>
      <c r="VEG1" s="110"/>
      <c r="VEH1" s="110"/>
      <c r="VEI1" s="110"/>
      <c r="VEJ1" s="110"/>
      <c r="VEK1" s="110"/>
      <c r="VEL1" s="110"/>
      <c r="VEM1" s="110"/>
      <c r="VEN1" s="110"/>
      <c r="VEO1" s="110"/>
      <c r="VEP1" s="110"/>
      <c r="VEQ1" s="110"/>
      <c r="VER1" s="110"/>
      <c r="VES1" s="110"/>
      <c r="VET1" s="110"/>
      <c r="VEU1" s="110"/>
      <c r="VEV1" s="110"/>
      <c r="VEW1" s="110"/>
      <c r="VEX1" s="110"/>
      <c r="VEY1" s="110"/>
      <c r="VEZ1" s="110"/>
      <c r="VFA1" s="110"/>
      <c r="VFB1" s="110"/>
      <c r="VFC1" s="110"/>
      <c r="VFD1" s="110"/>
      <c r="VFE1" s="110"/>
      <c r="VFF1" s="110"/>
      <c r="VFG1" s="110"/>
      <c r="VFH1" s="110"/>
      <c r="VFI1" s="110"/>
      <c r="VFJ1" s="110"/>
      <c r="VFK1" s="110"/>
      <c r="VFL1" s="110"/>
      <c r="VFM1" s="110"/>
      <c r="VFN1" s="110"/>
      <c r="VFO1" s="110"/>
      <c r="VFP1" s="110"/>
      <c r="VFQ1" s="110"/>
      <c r="VFR1" s="110"/>
      <c r="VFS1" s="110"/>
      <c r="VFT1" s="110"/>
      <c r="VFU1" s="110"/>
      <c r="VFV1" s="110"/>
      <c r="VFW1" s="110"/>
      <c r="VFX1" s="110"/>
      <c r="VFY1" s="110"/>
      <c r="VFZ1" s="110"/>
      <c r="VGA1" s="110"/>
      <c r="VGB1" s="110"/>
      <c r="VGC1" s="110"/>
      <c r="VGD1" s="110"/>
      <c r="VGE1" s="110"/>
      <c r="VGF1" s="110"/>
      <c r="VGG1" s="110"/>
      <c r="VGH1" s="110"/>
      <c r="VGI1" s="110"/>
      <c r="VGJ1" s="110"/>
      <c r="VGK1" s="110"/>
      <c r="VGL1" s="110"/>
      <c r="VGM1" s="110"/>
      <c r="VGN1" s="110"/>
      <c r="VGO1" s="110"/>
      <c r="VGP1" s="110"/>
      <c r="VGQ1" s="110"/>
      <c r="VGR1" s="110"/>
      <c r="VGS1" s="110"/>
      <c r="VGT1" s="110"/>
      <c r="VGU1" s="110"/>
      <c r="VGV1" s="110"/>
      <c r="VGW1" s="110"/>
      <c r="VGX1" s="110"/>
      <c r="VGY1" s="110"/>
      <c r="VGZ1" s="110"/>
      <c r="VHA1" s="110"/>
      <c r="VHB1" s="110"/>
      <c r="VHC1" s="110"/>
      <c r="VHD1" s="110"/>
      <c r="VHE1" s="110"/>
      <c r="VHF1" s="110"/>
      <c r="VHG1" s="110"/>
      <c r="VHH1" s="110"/>
      <c r="VHI1" s="110"/>
      <c r="VHJ1" s="110"/>
      <c r="VHK1" s="110"/>
      <c r="VHL1" s="110"/>
      <c r="VHM1" s="110"/>
      <c r="VHN1" s="110"/>
      <c r="VHO1" s="110"/>
      <c r="VHP1" s="110"/>
      <c r="VHQ1" s="110"/>
      <c r="VHR1" s="110"/>
      <c r="VHS1" s="110"/>
      <c r="VHT1" s="110"/>
      <c r="VHU1" s="110"/>
      <c r="VHV1" s="110"/>
      <c r="VHW1" s="110"/>
      <c r="VHX1" s="110"/>
      <c r="VHY1" s="110"/>
      <c r="VHZ1" s="110"/>
      <c r="VIA1" s="110"/>
      <c r="VIB1" s="110"/>
      <c r="VIC1" s="110"/>
      <c r="VID1" s="110"/>
      <c r="VIE1" s="110"/>
      <c r="VIF1" s="110"/>
      <c r="VIG1" s="110"/>
      <c r="VIH1" s="110"/>
      <c r="VII1" s="110"/>
      <c r="VIJ1" s="110"/>
      <c r="VIK1" s="110"/>
      <c r="VIL1" s="110"/>
      <c r="VIM1" s="110"/>
      <c r="VIN1" s="110"/>
      <c r="VIO1" s="110"/>
      <c r="VIP1" s="110"/>
      <c r="VIQ1" s="110"/>
      <c r="VIR1" s="110"/>
      <c r="VIS1" s="110"/>
      <c r="VIT1" s="110"/>
      <c r="VIU1" s="110"/>
      <c r="VIV1" s="110"/>
      <c r="VIW1" s="110"/>
      <c r="VIX1" s="110"/>
      <c r="VIY1" s="110"/>
      <c r="VIZ1" s="110"/>
      <c r="VJA1" s="110"/>
      <c r="VJB1" s="110"/>
      <c r="VJC1" s="110"/>
      <c r="VJD1" s="110"/>
      <c r="VJE1" s="110"/>
      <c r="VJF1" s="110"/>
      <c r="VJG1" s="110"/>
      <c r="VJH1" s="110"/>
      <c r="VJI1" s="110"/>
      <c r="VJJ1" s="110"/>
      <c r="VJK1" s="110"/>
      <c r="VJL1" s="110"/>
      <c r="VJM1" s="110"/>
      <c r="VJN1" s="110"/>
      <c r="VJO1" s="110"/>
      <c r="VJP1" s="110"/>
      <c r="VJQ1" s="110"/>
      <c r="VJR1" s="110"/>
      <c r="VJS1" s="110"/>
      <c r="VJT1" s="110"/>
      <c r="VJU1" s="110"/>
      <c r="VJV1" s="110"/>
      <c r="VJW1" s="110"/>
      <c r="VJX1" s="110"/>
      <c r="VJY1" s="110"/>
      <c r="VJZ1" s="110"/>
      <c r="VKA1" s="110"/>
      <c r="VKB1" s="110"/>
      <c r="VKC1" s="110"/>
      <c r="VKD1" s="110"/>
      <c r="VKE1" s="110"/>
      <c r="VKF1" s="110"/>
      <c r="VKG1" s="110"/>
      <c r="VKH1" s="110"/>
      <c r="VKI1" s="110"/>
      <c r="VKJ1" s="110"/>
      <c r="VKK1" s="110"/>
      <c r="VKL1" s="110"/>
      <c r="VKM1" s="110"/>
      <c r="VKN1" s="110"/>
      <c r="VKO1" s="110"/>
      <c r="VKP1" s="110"/>
      <c r="VKQ1" s="110"/>
      <c r="VKR1" s="110"/>
      <c r="VKS1" s="110"/>
      <c r="VKT1" s="110"/>
      <c r="VKU1" s="110"/>
      <c r="VKV1" s="110"/>
      <c r="VKW1" s="110"/>
      <c r="VKX1" s="110"/>
      <c r="VKY1" s="110"/>
      <c r="VKZ1" s="110"/>
      <c r="VLA1" s="110"/>
      <c r="VLB1" s="110"/>
      <c r="VLC1" s="110"/>
      <c r="VLD1" s="110"/>
      <c r="VLE1" s="110"/>
      <c r="VLF1" s="110"/>
      <c r="VLG1" s="110"/>
      <c r="VLH1" s="110"/>
      <c r="VLI1" s="110"/>
      <c r="VLJ1" s="110"/>
      <c r="VLK1" s="110"/>
      <c r="VLL1" s="110"/>
      <c r="VLM1" s="110"/>
      <c r="VLN1" s="110"/>
      <c r="VLO1" s="110"/>
      <c r="VLP1" s="110"/>
      <c r="VLQ1" s="110"/>
      <c r="VLR1" s="110"/>
      <c r="VLS1" s="110"/>
      <c r="VLT1" s="110"/>
      <c r="VLU1" s="110"/>
      <c r="VLV1" s="110"/>
      <c r="VLW1" s="110"/>
      <c r="VLX1" s="110"/>
      <c r="VLY1" s="110"/>
      <c r="VLZ1" s="110"/>
      <c r="VMA1" s="110"/>
      <c r="VMB1" s="110"/>
      <c r="VMC1" s="110"/>
      <c r="VMD1" s="110"/>
      <c r="VME1" s="110"/>
      <c r="VMF1" s="110"/>
      <c r="VMG1" s="110"/>
      <c r="VMH1" s="110"/>
      <c r="VMI1" s="110"/>
      <c r="VMJ1" s="110"/>
      <c r="VMK1" s="110"/>
      <c r="VML1" s="110"/>
      <c r="VMM1" s="110"/>
      <c r="VMN1" s="110"/>
      <c r="VMO1" s="110"/>
      <c r="VMP1" s="110"/>
      <c r="VMQ1" s="110"/>
      <c r="VMR1" s="110"/>
      <c r="VMS1" s="110"/>
      <c r="VMT1" s="110"/>
      <c r="VMU1" s="110"/>
      <c r="VMV1" s="110"/>
      <c r="VMW1" s="110"/>
      <c r="VMX1" s="110"/>
      <c r="VMY1" s="110"/>
      <c r="VMZ1" s="110"/>
      <c r="VNA1" s="110"/>
      <c r="VNB1" s="110"/>
      <c r="VNC1" s="110"/>
      <c r="VND1" s="110"/>
      <c r="VNE1" s="110"/>
      <c r="VNF1" s="110"/>
      <c r="VNG1" s="110"/>
      <c r="VNH1" s="110"/>
      <c r="VNI1" s="110"/>
      <c r="VNJ1" s="110"/>
      <c r="VNK1" s="110"/>
      <c r="VNL1" s="110"/>
      <c r="VNM1" s="110"/>
      <c r="VNN1" s="110"/>
      <c r="VNO1" s="110"/>
      <c r="VNP1" s="110"/>
      <c r="VNQ1" s="110"/>
      <c r="VNR1" s="110"/>
      <c r="VNS1" s="110"/>
      <c r="VNT1" s="110"/>
      <c r="VNU1" s="110"/>
      <c r="VNV1" s="110"/>
      <c r="VNW1" s="110"/>
      <c r="VNX1" s="110"/>
      <c r="VNY1" s="110"/>
      <c r="VNZ1" s="110"/>
      <c r="VOA1" s="110"/>
      <c r="VOB1" s="110"/>
      <c r="VOC1" s="110"/>
      <c r="VOD1" s="110"/>
      <c r="VOE1" s="110"/>
      <c r="VOF1" s="110"/>
      <c r="VOG1" s="110"/>
      <c r="VOH1" s="110"/>
      <c r="VOI1" s="110"/>
      <c r="VOJ1" s="110"/>
      <c r="VOK1" s="110"/>
      <c r="VOL1" s="110"/>
      <c r="VOM1" s="110"/>
      <c r="VON1" s="110"/>
      <c r="VOO1" s="110"/>
      <c r="VOP1" s="110"/>
      <c r="VOQ1" s="110"/>
      <c r="VOR1" s="110"/>
      <c r="VOS1" s="110"/>
      <c r="VOT1" s="110"/>
      <c r="VOU1" s="110"/>
      <c r="VOV1" s="110"/>
      <c r="VOW1" s="110"/>
      <c r="VOX1" s="110"/>
      <c r="VOY1" s="110"/>
      <c r="VOZ1" s="110"/>
      <c r="VPA1" s="110"/>
      <c r="VPB1" s="110"/>
      <c r="VPC1" s="110"/>
      <c r="VPD1" s="110"/>
      <c r="VPE1" s="110"/>
      <c r="VPF1" s="110"/>
      <c r="VPG1" s="110"/>
      <c r="VPH1" s="110"/>
      <c r="VPI1" s="110"/>
      <c r="VPJ1" s="110"/>
      <c r="VPK1" s="110"/>
      <c r="VPL1" s="110"/>
      <c r="VPM1" s="110"/>
      <c r="VPN1" s="110"/>
      <c r="VPO1" s="110"/>
      <c r="VPP1" s="110"/>
      <c r="VPQ1" s="110"/>
      <c r="VPR1" s="110"/>
      <c r="VPS1" s="110"/>
      <c r="VPT1" s="110"/>
      <c r="VPU1" s="110"/>
      <c r="VPV1" s="110"/>
      <c r="VPW1" s="110"/>
      <c r="VPX1" s="110"/>
      <c r="VPY1" s="110"/>
      <c r="VPZ1" s="110"/>
      <c r="VQA1" s="110"/>
      <c r="VQB1" s="110"/>
      <c r="VQC1" s="110"/>
      <c r="VQD1" s="110"/>
      <c r="VQE1" s="110"/>
      <c r="VQF1" s="110"/>
      <c r="VQG1" s="110"/>
      <c r="VQH1" s="110"/>
      <c r="VQI1" s="110"/>
      <c r="VQJ1" s="110"/>
      <c r="VQK1" s="110"/>
      <c r="VQL1" s="110"/>
      <c r="VQM1" s="110"/>
      <c r="VQN1" s="110"/>
      <c r="VQO1" s="110"/>
      <c r="VQP1" s="110"/>
      <c r="VQQ1" s="110"/>
      <c r="VQR1" s="110"/>
      <c r="VQS1" s="110"/>
      <c r="VQT1" s="110"/>
      <c r="VQU1" s="110"/>
      <c r="VQV1" s="110"/>
      <c r="VQW1" s="110"/>
      <c r="VQX1" s="110"/>
      <c r="VQY1" s="110"/>
      <c r="VQZ1" s="110"/>
      <c r="VRA1" s="110"/>
      <c r="VRB1" s="110"/>
      <c r="VRC1" s="110"/>
      <c r="VRD1" s="110"/>
      <c r="VRE1" s="110"/>
      <c r="VRF1" s="110"/>
      <c r="VRG1" s="110"/>
      <c r="VRH1" s="110"/>
      <c r="VRI1" s="110"/>
      <c r="VRJ1" s="110"/>
      <c r="VRK1" s="110"/>
      <c r="VRL1" s="110"/>
      <c r="VRM1" s="110"/>
      <c r="VRN1" s="110"/>
      <c r="VRO1" s="110"/>
      <c r="VRP1" s="110"/>
      <c r="VRQ1" s="110"/>
      <c r="VRR1" s="110"/>
      <c r="VRS1" s="110"/>
      <c r="VRT1" s="110"/>
      <c r="VRU1" s="110"/>
      <c r="VRV1" s="110"/>
      <c r="VRW1" s="110"/>
      <c r="VRX1" s="110"/>
      <c r="VRY1" s="110"/>
      <c r="VRZ1" s="110"/>
      <c r="VSA1" s="110"/>
      <c r="VSB1" s="110"/>
      <c r="VSC1" s="110"/>
      <c r="VSD1" s="110"/>
      <c r="VSE1" s="110"/>
      <c r="VSF1" s="110"/>
      <c r="VSG1" s="110"/>
      <c r="VSH1" s="110"/>
      <c r="VSI1" s="110"/>
      <c r="VSJ1" s="110"/>
      <c r="VSK1" s="110"/>
      <c r="VSL1" s="110"/>
      <c r="VSM1" s="110"/>
      <c r="VSN1" s="110"/>
      <c r="VSO1" s="110"/>
      <c r="VSP1" s="110"/>
      <c r="VSQ1" s="110"/>
      <c r="VSR1" s="110"/>
      <c r="VSS1" s="110"/>
      <c r="VST1" s="110"/>
      <c r="VSU1" s="110"/>
      <c r="VSV1" s="110"/>
      <c r="VSW1" s="110"/>
      <c r="VSX1" s="110"/>
      <c r="VSY1" s="110"/>
      <c r="VSZ1" s="110"/>
      <c r="VTA1" s="110"/>
      <c r="VTB1" s="110"/>
      <c r="VTC1" s="110"/>
      <c r="VTD1" s="110"/>
      <c r="VTE1" s="110"/>
      <c r="VTF1" s="110"/>
      <c r="VTG1" s="110"/>
      <c r="VTH1" s="110"/>
      <c r="VTI1" s="110"/>
      <c r="VTJ1" s="110"/>
      <c r="VTK1" s="110"/>
      <c r="VTL1" s="110"/>
      <c r="VTM1" s="110"/>
      <c r="VTN1" s="110"/>
      <c r="VTO1" s="110"/>
      <c r="VTP1" s="110"/>
      <c r="VTQ1" s="110"/>
      <c r="VTR1" s="110"/>
      <c r="VTS1" s="110"/>
      <c r="VTT1" s="110"/>
      <c r="VTU1" s="110"/>
      <c r="VTV1" s="110"/>
      <c r="VTW1" s="110"/>
      <c r="VTX1" s="110"/>
      <c r="VTY1" s="110"/>
      <c r="VTZ1" s="110"/>
      <c r="VUA1" s="110"/>
      <c r="VUB1" s="110"/>
      <c r="VUC1" s="110"/>
      <c r="VUD1" s="110"/>
      <c r="VUE1" s="110"/>
      <c r="VUF1" s="110"/>
      <c r="VUG1" s="110"/>
      <c r="VUH1" s="110"/>
      <c r="VUI1" s="110"/>
      <c r="VUJ1" s="110"/>
      <c r="VUK1" s="110"/>
      <c r="VUL1" s="110"/>
      <c r="VUM1" s="110"/>
      <c r="VUN1" s="110"/>
      <c r="VUO1" s="110"/>
      <c r="VUP1" s="110"/>
      <c r="VUQ1" s="110"/>
      <c r="VUR1" s="110"/>
      <c r="VUS1" s="110"/>
      <c r="VUT1" s="110"/>
      <c r="VUU1" s="110"/>
      <c r="VUV1" s="110"/>
      <c r="VUW1" s="110"/>
      <c r="VUX1" s="110"/>
      <c r="VUY1" s="110"/>
      <c r="VUZ1" s="110"/>
      <c r="VVA1" s="110"/>
      <c r="VVB1" s="110"/>
      <c r="VVC1" s="110"/>
      <c r="VVD1" s="110"/>
      <c r="VVE1" s="110"/>
      <c r="VVF1" s="110"/>
      <c r="VVG1" s="110"/>
      <c r="VVH1" s="110"/>
      <c r="VVI1" s="110"/>
      <c r="VVJ1" s="110"/>
      <c r="VVK1" s="110"/>
      <c r="VVL1" s="110"/>
      <c r="VVM1" s="110"/>
      <c r="VVN1" s="110"/>
      <c r="VVO1" s="110"/>
      <c r="VVP1" s="110"/>
      <c r="VVQ1" s="110"/>
      <c r="VVR1" s="110"/>
      <c r="VVS1" s="110"/>
      <c r="VVT1" s="110"/>
      <c r="VVU1" s="110"/>
      <c r="VVV1" s="110"/>
      <c r="VVW1" s="110"/>
      <c r="VVX1" s="110"/>
      <c r="VVY1" s="110"/>
      <c r="VVZ1" s="110"/>
      <c r="VWA1" s="110"/>
      <c r="VWB1" s="110"/>
      <c r="VWC1" s="110"/>
      <c r="VWD1" s="110"/>
      <c r="VWE1" s="110"/>
      <c r="VWF1" s="110"/>
      <c r="VWG1" s="110"/>
      <c r="VWH1" s="110"/>
      <c r="VWI1" s="110"/>
      <c r="VWJ1" s="110"/>
      <c r="VWK1" s="110"/>
      <c r="VWL1" s="110"/>
      <c r="VWM1" s="110"/>
      <c r="VWN1" s="110"/>
      <c r="VWO1" s="110"/>
      <c r="VWP1" s="110"/>
      <c r="VWQ1" s="110"/>
      <c r="VWR1" s="110"/>
      <c r="VWS1" s="110"/>
      <c r="VWT1" s="110"/>
      <c r="VWU1" s="110"/>
      <c r="VWV1" s="110"/>
      <c r="VWW1" s="110"/>
      <c r="VWX1" s="110"/>
      <c r="VWY1" s="110"/>
      <c r="VWZ1" s="110"/>
      <c r="VXA1" s="110"/>
      <c r="VXB1" s="110"/>
      <c r="VXC1" s="110"/>
      <c r="VXD1" s="110"/>
      <c r="VXE1" s="110"/>
      <c r="VXF1" s="110"/>
      <c r="VXG1" s="110"/>
      <c r="VXH1" s="110"/>
      <c r="VXI1" s="110"/>
      <c r="VXJ1" s="110"/>
      <c r="VXK1" s="110"/>
      <c r="VXL1" s="110"/>
      <c r="VXM1" s="110"/>
      <c r="VXN1" s="110"/>
      <c r="VXO1" s="110"/>
      <c r="VXP1" s="110"/>
      <c r="VXQ1" s="110"/>
      <c r="VXR1" s="110"/>
      <c r="VXS1" s="110"/>
      <c r="VXT1" s="110"/>
      <c r="VXU1" s="110"/>
      <c r="VXV1" s="110"/>
      <c r="VXW1" s="110"/>
      <c r="VXX1" s="110"/>
      <c r="VXY1" s="110"/>
      <c r="VXZ1" s="110"/>
      <c r="VYA1" s="110"/>
      <c r="VYB1" s="110"/>
      <c r="VYC1" s="110"/>
      <c r="VYD1" s="110"/>
      <c r="VYE1" s="110"/>
      <c r="VYF1" s="110"/>
      <c r="VYG1" s="110"/>
      <c r="VYH1" s="110"/>
      <c r="VYI1" s="110"/>
      <c r="VYJ1" s="110"/>
      <c r="VYK1" s="110"/>
      <c r="VYL1" s="110"/>
      <c r="VYM1" s="110"/>
      <c r="VYN1" s="110"/>
      <c r="VYO1" s="110"/>
      <c r="VYP1" s="110"/>
      <c r="VYQ1" s="110"/>
      <c r="VYR1" s="110"/>
      <c r="VYS1" s="110"/>
      <c r="VYT1" s="110"/>
      <c r="VYU1" s="110"/>
      <c r="VYV1" s="110"/>
      <c r="VYW1" s="110"/>
      <c r="VYX1" s="110"/>
      <c r="VYY1" s="110"/>
      <c r="VYZ1" s="110"/>
      <c r="VZA1" s="110"/>
      <c r="VZB1" s="110"/>
      <c r="VZC1" s="110"/>
      <c r="VZD1" s="110"/>
      <c r="VZE1" s="110"/>
      <c r="VZF1" s="110"/>
      <c r="VZG1" s="110"/>
      <c r="VZH1" s="110"/>
      <c r="VZI1" s="110"/>
      <c r="VZJ1" s="110"/>
      <c r="VZK1" s="110"/>
      <c r="VZL1" s="110"/>
      <c r="VZM1" s="110"/>
      <c r="VZN1" s="110"/>
      <c r="VZO1" s="110"/>
      <c r="VZP1" s="110"/>
      <c r="VZQ1" s="110"/>
      <c r="VZR1" s="110"/>
      <c r="VZS1" s="110"/>
      <c r="VZT1" s="110"/>
      <c r="VZU1" s="110"/>
      <c r="VZV1" s="110"/>
      <c r="VZW1" s="110"/>
      <c r="VZX1" s="110"/>
      <c r="VZY1" s="110"/>
      <c r="VZZ1" s="110"/>
      <c r="WAA1" s="110"/>
      <c r="WAB1" s="110"/>
      <c r="WAC1" s="110"/>
      <c r="WAD1" s="110"/>
      <c r="WAE1" s="110"/>
      <c r="WAF1" s="110"/>
      <c r="WAG1" s="110"/>
      <c r="WAH1" s="110"/>
      <c r="WAI1" s="110"/>
      <c r="WAJ1" s="110"/>
      <c r="WAK1" s="110"/>
      <c r="WAL1" s="110"/>
      <c r="WAM1" s="110"/>
      <c r="WAN1" s="110"/>
      <c r="WAO1" s="110"/>
      <c r="WAP1" s="110"/>
      <c r="WAQ1" s="110"/>
      <c r="WAR1" s="110"/>
      <c r="WAS1" s="110"/>
      <c r="WAT1" s="110"/>
      <c r="WAU1" s="110"/>
      <c r="WAV1" s="110"/>
      <c r="WAW1" s="110"/>
      <c r="WAX1" s="110"/>
      <c r="WAY1" s="110"/>
      <c r="WAZ1" s="110"/>
      <c r="WBA1" s="110"/>
      <c r="WBB1" s="110"/>
      <c r="WBC1" s="110"/>
      <c r="WBD1" s="110"/>
      <c r="WBE1" s="110"/>
      <c r="WBF1" s="110"/>
      <c r="WBG1" s="110"/>
      <c r="WBH1" s="110"/>
      <c r="WBI1" s="110"/>
      <c r="WBJ1" s="110"/>
      <c r="WBK1" s="110"/>
      <c r="WBL1" s="110"/>
      <c r="WBM1" s="110"/>
      <c r="WBN1" s="110"/>
      <c r="WBO1" s="110"/>
      <c r="WBP1" s="110"/>
      <c r="WBQ1" s="110"/>
      <c r="WBR1" s="110"/>
      <c r="WBS1" s="110"/>
      <c r="WBT1" s="110"/>
      <c r="WBU1" s="110"/>
      <c r="WBV1" s="110"/>
      <c r="WBW1" s="110"/>
      <c r="WBX1" s="110"/>
      <c r="WBY1" s="110"/>
      <c r="WBZ1" s="110"/>
      <c r="WCA1" s="110"/>
      <c r="WCB1" s="110"/>
      <c r="WCC1" s="110"/>
      <c r="WCD1" s="110"/>
      <c r="WCE1" s="110"/>
      <c r="WCF1" s="110"/>
      <c r="WCG1" s="110"/>
      <c r="WCH1" s="110"/>
      <c r="WCI1" s="110"/>
      <c r="WCJ1" s="110"/>
      <c r="WCK1" s="110"/>
      <c r="WCL1" s="110"/>
      <c r="WCM1" s="110"/>
      <c r="WCN1" s="110"/>
      <c r="WCO1" s="110"/>
      <c r="WCP1" s="110"/>
      <c r="WCQ1" s="110"/>
      <c r="WCR1" s="110"/>
      <c r="WCS1" s="110"/>
      <c r="WCT1" s="110"/>
      <c r="WCU1" s="110"/>
      <c r="WCV1" s="110"/>
      <c r="WCW1" s="110"/>
      <c r="WCX1" s="110"/>
      <c r="WCY1" s="110"/>
      <c r="WCZ1" s="110"/>
      <c r="WDA1" s="110"/>
      <c r="WDB1" s="110"/>
      <c r="WDC1" s="110"/>
      <c r="WDD1" s="110"/>
      <c r="WDE1" s="110"/>
      <c r="WDF1" s="110"/>
      <c r="WDG1" s="110"/>
      <c r="WDH1" s="110"/>
      <c r="WDI1" s="110"/>
      <c r="WDJ1" s="110"/>
      <c r="WDK1" s="110"/>
      <c r="WDL1" s="110"/>
      <c r="WDM1" s="110"/>
      <c r="WDN1" s="110"/>
      <c r="WDO1" s="110"/>
      <c r="WDP1" s="110"/>
      <c r="WDQ1" s="110"/>
      <c r="WDR1" s="110"/>
      <c r="WDS1" s="110"/>
      <c r="WDT1" s="110"/>
      <c r="WDU1" s="110"/>
      <c r="WDV1" s="110"/>
      <c r="WDW1" s="110"/>
      <c r="WDX1" s="110"/>
      <c r="WDY1" s="110"/>
      <c r="WDZ1" s="110"/>
      <c r="WEA1" s="110"/>
      <c r="WEB1" s="110"/>
      <c r="WEC1" s="110"/>
      <c r="WED1" s="110"/>
      <c r="WEE1" s="110"/>
      <c r="WEF1" s="110"/>
      <c r="WEG1" s="110"/>
      <c r="WEH1" s="110"/>
      <c r="WEI1" s="110"/>
      <c r="WEJ1" s="110"/>
      <c r="WEK1" s="110"/>
      <c r="WEL1" s="110"/>
      <c r="WEM1" s="110"/>
      <c r="WEN1" s="110"/>
      <c r="WEO1" s="110"/>
      <c r="WEP1" s="110"/>
      <c r="WEQ1" s="110"/>
      <c r="WER1" s="110"/>
      <c r="WES1" s="110"/>
      <c r="WET1" s="110"/>
      <c r="WEU1" s="110"/>
      <c r="WEV1" s="110"/>
      <c r="WEW1" s="110"/>
      <c r="WEX1" s="110"/>
      <c r="WEY1" s="110"/>
      <c r="WEZ1" s="110"/>
      <c r="WFA1" s="110"/>
      <c r="WFB1" s="110"/>
      <c r="WFC1" s="110"/>
      <c r="WFD1" s="110"/>
      <c r="WFE1" s="110"/>
      <c r="WFF1" s="110"/>
      <c r="WFG1" s="110"/>
      <c r="WFH1" s="110"/>
      <c r="WFI1" s="110"/>
      <c r="WFJ1" s="110"/>
      <c r="WFK1" s="110"/>
      <c r="WFL1" s="110"/>
      <c r="WFM1" s="110"/>
      <c r="WFN1" s="110"/>
      <c r="WFO1" s="110"/>
      <c r="WFP1" s="110"/>
      <c r="WFQ1" s="110"/>
      <c r="WFR1" s="110"/>
      <c r="WFS1" s="110"/>
      <c r="WFT1" s="110"/>
      <c r="WFU1" s="110"/>
      <c r="WFV1" s="110"/>
      <c r="WFW1" s="110"/>
      <c r="WFX1" s="110"/>
      <c r="WFY1" s="110"/>
      <c r="WFZ1" s="110"/>
      <c r="WGA1" s="110"/>
      <c r="WGB1" s="110"/>
      <c r="WGC1" s="110"/>
      <c r="WGD1" s="110"/>
      <c r="WGE1" s="110"/>
      <c r="WGF1" s="110"/>
      <c r="WGG1" s="110"/>
      <c r="WGH1" s="110"/>
      <c r="WGI1" s="110"/>
      <c r="WGJ1" s="110"/>
      <c r="WGK1" s="110"/>
      <c r="WGL1" s="110"/>
      <c r="WGM1" s="110"/>
      <c r="WGN1" s="110"/>
      <c r="WGO1" s="110"/>
      <c r="WGP1" s="110"/>
      <c r="WGQ1" s="110"/>
      <c r="WGR1" s="110"/>
      <c r="WGS1" s="110"/>
      <c r="WGT1" s="110"/>
      <c r="WGU1" s="110"/>
      <c r="WGV1" s="110"/>
      <c r="WGW1" s="110"/>
      <c r="WGX1" s="110"/>
      <c r="WGY1" s="110"/>
      <c r="WGZ1" s="110"/>
      <c r="WHA1" s="110"/>
      <c r="WHB1" s="110"/>
      <c r="WHC1" s="110"/>
      <c r="WHD1" s="110"/>
      <c r="WHE1" s="110"/>
      <c r="WHF1" s="110"/>
      <c r="WHG1" s="110"/>
      <c r="WHH1" s="110"/>
      <c r="WHI1" s="110"/>
      <c r="WHJ1" s="110"/>
      <c r="WHK1" s="110"/>
      <c r="WHL1" s="110"/>
      <c r="WHM1" s="110"/>
      <c r="WHN1" s="110"/>
      <c r="WHO1" s="110"/>
      <c r="WHP1" s="110"/>
      <c r="WHQ1" s="110"/>
      <c r="WHR1" s="110"/>
      <c r="WHS1" s="110"/>
      <c r="WHT1" s="110"/>
      <c r="WHU1" s="110"/>
      <c r="WHV1" s="110"/>
      <c r="WHW1" s="110"/>
      <c r="WHX1" s="110"/>
      <c r="WHY1" s="110"/>
      <c r="WHZ1" s="110"/>
      <c r="WIA1" s="110"/>
      <c r="WIB1" s="110"/>
      <c r="WIC1" s="110"/>
      <c r="WID1" s="110"/>
      <c r="WIE1" s="110"/>
      <c r="WIF1" s="110"/>
      <c r="WIG1" s="110"/>
      <c r="WIH1" s="110"/>
      <c r="WII1" s="110"/>
      <c r="WIJ1" s="110"/>
      <c r="WIK1" s="110"/>
      <c r="WIL1" s="110"/>
      <c r="WIM1" s="110"/>
      <c r="WIN1" s="110"/>
      <c r="WIO1" s="110"/>
      <c r="WIP1" s="110"/>
      <c r="WIQ1" s="110"/>
      <c r="WIR1" s="110"/>
      <c r="WIS1" s="110"/>
      <c r="WIT1" s="110"/>
      <c r="WIU1" s="110"/>
      <c r="WIV1" s="110"/>
      <c r="WIW1" s="110"/>
      <c r="WIX1" s="110"/>
      <c r="WIY1" s="110"/>
      <c r="WIZ1" s="110"/>
      <c r="WJA1" s="110"/>
      <c r="WJB1" s="110"/>
      <c r="WJC1" s="110"/>
      <c r="WJD1" s="110"/>
      <c r="WJE1" s="110"/>
      <c r="WJF1" s="110"/>
      <c r="WJG1" s="110"/>
      <c r="WJH1" s="110"/>
      <c r="WJI1" s="110"/>
      <c r="WJJ1" s="110"/>
      <c r="WJK1" s="110"/>
      <c r="WJL1" s="110"/>
      <c r="WJM1" s="110"/>
      <c r="WJN1" s="110"/>
      <c r="WJO1" s="110"/>
      <c r="WJP1" s="110"/>
      <c r="WJQ1" s="110"/>
      <c r="WJR1" s="110"/>
      <c r="WJS1" s="110"/>
      <c r="WJT1" s="110"/>
      <c r="WJU1" s="110"/>
      <c r="WJV1" s="110"/>
      <c r="WJW1" s="110"/>
      <c r="WJX1" s="110"/>
      <c r="WJY1" s="110"/>
      <c r="WJZ1" s="110"/>
      <c r="WKA1" s="110"/>
      <c r="WKB1" s="110"/>
      <c r="WKC1" s="110"/>
      <c r="WKD1" s="110"/>
      <c r="WKE1" s="110"/>
      <c r="WKF1" s="110"/>
      <c r="WKG1" s="110"/>
      <c r="WKH1" s="110"/>
      <c r="WKI1" s="110"/>
      <c r="WKJ1" s="110"/>
      <c r="WKK1" s="110"/>
      <c r="WKL1" s="110"/>
      <c r="WKM1" s="110"/>
      <c r="WKN1" s="110"/>
      <c r="WKO1" s="110"/>
      <c r="WKP1" s="110"/>
      <c r="WKQ1" s="110"/>
      <c r="WKR1" s="110"/>
      <c r="WKS1" s="110"/>
      <c r="WKT1" s="110"/>
      <c r="WKU1" s="110"/>
      <c r="WKV1" s="110"/>
      <c r="WKW1" s="110"/>
      <c r="WKX1" s="110"/>
      <c r="WKY1" s="110"/>
      <c r="WKZ1" s="110"/>
      <c r="WLA1" s="110"/>
      <c r="WLB1" s="110"/>
      <c r="WLC1" s="110"/>
      <c r="WLD1" s="110"/>
      <c r="WLE1" s="110"/>
      <c r="WLF1" s="110"/>
      <c r="WLG1" s="110"/>
      <c r="WLH1" s="110"/>
      <c r="WLI1" s="110"/>
      <c r="WLJ1" s="110"/>
      <c r="WLK1" s="110"/>
      <c r="WLL1" s="110"/>
      <c r="WLM1" s="110"/>
      <c r="WLN1" s="110"/>
      <c r="WLO1" s="110"/>
      <c r="WLP1" s="110"/>
      <c r="WLQ1" s="110"/>
      <c r="WLR1" s="110"/>
      <c r="WLS1" s="110"/>
      <c r="WLT1" s="110"/>
      <c r="WLU1" s="110"/>
      <c r="WLV1" s="110"/>
      <c r="WLW1" s="110"/>
      <c r="WLX1" s="110"/>
      <c r="WLY1" s="110"/>
      <c r="WLZ1" s="110"/>
      <c r="WMA1" s="110"/>
      <c r="WMB1" s="110"/>
      <c r="WMC1" s="110"/>
      <c r="WMD1" s="110"/>
      <c r="WME1" s="110"/>
      <c r="WMF1" s="110"/>
      <c r="WMG1" s="110"/>
      <c r="WMH1" s="110"/>
      <c r="WMI1" s="110"/>
      <c r="WMJ1" s="110"/>
      <c r="WMK1" s="110"/>
      <c r="WML1" s="110"/>
      <c r="WMM1" s="110"/>
      <c r="WMN1" s="110"/>
      <c r="WMO1" s="110"/>
      <c r="WMP1" s="110"/>
      <c r="WMQ1" s="110"/>
      <c r="WMR1" s="110"/>
      <c r="WMS1" s="110"/>
      <c r="WMT1" s="110"/>
      <c r="WMU1" s="110"/>
      <c r="WMV1" s="110"/>
      <c r="WMW1" s="110"/>
      <c r="WMX1" s="110"/>
      <c r="WMY1" s="110"/>
      <c r="WMZ1" s="110"/>
      <c r="WNA1" s="110"/>
      <c r="WNB1" s="110"/>
      <c r="WNC1" s="110"/>
      <c r="WND1" s="110"/>
      <c r="WNE1" s="110"/>
      <c r="WNF1" s="110"/>
      <c r="WNG1" s="110"/>
      <c r="WNH1" s="110"/>
      <c r="WNI1" s="110"/>
      <c r="WNJ1" s="110"/>
      <c r="WNK1" s="110"/>
      <c r="WNL1" s="110"/>
      <c r="WNM1" s="110"/>
      <c r="WNN1" s="110"/>
      <c r="WNO1" s="110"/>
      <c r="WNP1" s="110"/>
      <c r="WNQ1" s="110"/>
      <c r="WNR1" s="110"/>
      <c r="WNS1" s="110"/>
      <c r="WNT1" s="110"/>
      <c r="WNU1" s="110"/>
      <c r="WNV1" s="110"/>
      <c r="WNW1" s="110"/>
      <c r="WNX1" s="110"/>
      <c r="WNY1" s="110"/>
      <c r="WNZ1" s="110"/>
      <c r="WOA1" s="110"/>
      <c r="WOB1" s="110"/>
      <c r="WOC1" s="110"/>
      <c r="WOD1" s="110"/>
      <c r="WOE1" s="110"/>
      <c r="WOF1" s="110"/>
      <c r="WOG1" s="110"/>
      <c r="WOH1" s="110"/>
      <c r="WOI1" s="110"/>
      <c r="WOJ1" s="110"/>
      <c r="WOK1" s="110"/>
      <c r="WOL1" s="110"/>
      <c r="WOM1" s="110"/>
      <c r="WON1" s="110"/>
      <c r="WOO1" s="110"/>
      <c r="WOP1" s="110"/>
      <c r="WOQ1" s="110"/>
      <c r="WOR1" s="110"/>
      <c r="WOS1" s="110"/>
      <c r="WOT1" s="110"/>
      <c r="WOU1" s="110"/>
      <c r="WOV1" s="110"/>
      <c r="WOW1" s="110"/>
      <c r="WOX1" s="110"/>
      <c r="WOY1" s="110"/>
      <c r="WOZ1" s="110"/>
      <c r="WPA1" s="110"/>
      <c r="WPB1" s="110"/>
      <c r="WPC1" s="110"/>
      <c r="WPD1" s="110"/>
      <c r="WPE1" s="110"/>
      <c r="WPF1" s="110"/>
      <c r="WPG1" s="110"/>
      <c r="WPH1" s="110"/>
      <c r="WPI1" s="110"/>
      <c r="WPJ1" s="110"/>
      <c r="WPK1" s="110"/>
      <c r="WPL1" s="110"/>
      <c r="WPM1" s="110"/>
      <c r="WPN1" s="110"/>
      <c r="WPO1" s="110"/>
      <c r="WPP1" s="110"/>
      <c r="WPQ1" s="110"/>
      <c r="WPR1" s="110"/>
      <c r="WPS1" s="110"/>
      <c r="WPT1" s="110"/>
      <c r="WPU1" s="110"/>
      <c r="WPV1" s="110"/>
      <c r="WPW1" s="110"/>
      <c r="WPX1" s="110"/>
      <c r="WPY1" s="110"/>
      <c r="WPZ1" s="110"/>
      <c r="WQA1" s="110"/>
      <c r="WQB1" s="110"/>
      <c r="WQC1" s="110"/>
      <c r="WQD1" s="110"/>
      <c r="WQE1" s="110"/>
      <c r="WQF1" s="110"/>
      <c r="WQG1" s="110"/>
      <c r="WQH1" s="110"/>
      <c r="WQI1" s="110"/>
      <c r="WQJ1" s="110"/>
      <c r="WQK1" s="110"/>
      <c r="WQL1" s="110"/>
      <c r="WQM1" s="110"/>
      <c r="WQN1" s="110"/>
      <c r="WQO1" s="110"/>
      <c r="WQP1" s="110"/>
      <c r="WQQ1" s="110"/>
      <c r="WQR1" s="110"/>
      <c r="WQS1" s="110"/>
      <c r="WQT1" s="110"/>
      <c r="WQU1" s="110"/>
      <c r="WQV1" s="110"/>
      <c r="WQW1" s="110"/>
      <c r="WQX1" s="110"/>
      <c r="WQY1" s="110"/>
      <c r="WQZ1" s="110"/>
      <c r="WRA1" s="110"/>
      <c r="WRB1" s="110"/>
      <c r="WRC1" s="110"/>
      <c r="WRD1" s="110"/>
      <c r="WRE1" s="110"/>
      <c r="WRF1" s="110"/>
      <c r="WRG1" s="110"/>
      <c r="WRH1" s="110"/>
      <c r="WRI1" s="110"/>
      <c r="WRJ1" s="110"/>
      <c r="WRK1" s="110"/>
      <c r="WRL1" s="110"/>
      <c r="WRM1" s="110"/>
      <c r="WRN1" s="110"/>
      <c r="WRO1" s="110"/>
      <c r="WRP1" s="110"/>
      <c r="WRQ1" s="110"/>
      <c r="WRR1" s="110"/>
      <c r="WRS1" s="110"/>
      <c r="WRT1" s="110"/>
      <c r="WRU1" s="110"/>
      <c r="WRV1" s="110"/>
      <c r="WRW1" s="110"/>
      <c r="WRX1" s="110"/>
      <c r="WRY1" s="110"/>
      <c r="WRZ1" s="110"/>
      <c r="WSA1" s="110"/>
      <c r="WSB1" s="110"/>
      <c r="WSC1" s="110"/>
      <c r="WSD1" s="110"/>
      <c r="WSE1" s="110"/>
      <c r="WSF1" s="110"/>
      <c r="WSG1" s="110"/>
      <c r="WSH1" s="110"/>
      <c r="WSI1" s="110"/>
      <c r="WSJ1" s="110"/>
      <c r="WSK1" s="110"/>
      <c r="WSL1" s="110"/>
      <c r="WSM1" s="110"/>
      <c r="WSN1" s="110"/>
      <c r="WSO1" s="110"/>
      <c r="WSP1" s="110"/>
      <c r="WSQ1" s="110"/>
      <c r="WSR1" s="110"/>
      <c r="WSS1" s="110"/>
      <c r="WST1" s="110"/>
      <c r="WSU1" s="110"/>
      <c r="WSV1" s="110"/>
      <c r="WSW1" s="110"/>
      <c r="WSX1" s="110"/>
      <c r="WSY1" s="110"/>
      <c r="WSZ1" s="110"/>
      <c r="WTA1" s="110"/>
      <c r="WTB1" s="110"/>
      <c r="WTC1" s="110"/>
      <c r="WTD1" s="110"/>
      <c r="WTE1" s="110"/>
      <c r="WTF1" s="110"/>
      <c r="WTG1" s="110"/>
      <c r="WTH1" s="110"/>
      <c r="WTI1" s="110"/>
      <c r="WTJ1" s="110"/>
      <c r="WTK1" s="110"/>
      <c r="WTL1" s="110"/>
      <c r="WTM1" s="110"/>
      <c r="WTN1" s="110"/>
      <c r="WTO1" s="110"/>
      <c r="WTP1" s="110"/>
      <c r="WTQ1" s="110"/>
      <c r="WTR1" s="110"/>
      <c r="WTS1" s="110"/>
      <c r="WTT1" s="110"/>
      <c r="WTU1" s="110"/>
      <c r="WTV1" s="110"/>
      <c r="WTW1" s="110"/>
      <c r="WTX1" s="110"/>
      <c r="WTY1" s="110"/>
      <c r="WTZ1" s="110"/>
      <c r="WUA1" s="110"/>
      <c r="WUB1" s="110"/>
      <c r="WUC1" s="110"/>
      <c r="WUD1" s="110"/>
      <c r="WUE1" s="110"/>
      <c r="WUF1" s="110"/>
      <c r="WUG1" s="110"/>
      <c r="WUH1" s="110"/>
      <c r="WUI1" s="110"/>
      <c r="WUJ1" s="110"/>
      <c r="WUK1" s="110"/>
      <c r="WUL1" s="110"/>
      <c r="WUM1" s="110"/>
      <c r="WUN1" s="110"/>
      <c r="WUO1" s="110"/>
      <c r="WUP1" s="110"/>
      <c r="WUQ1" s="110"/>
      <c r="WUR1" s="110"/>
      <c r="WUS1" s="110"/>
      <c r="WUT1" s="110"/>
      <c r="WUU1" s="110"/>
      <c r="WUV1" s="110"/>
      <c r="WUW1" s="110"/>
      <c r="WUX1" s="110"/>
      <c r="WUY1" s="110"/>
      <c r="WUZ1" s="110"/>
      <c r="WVA1" s="110"/>
      <c r="WVB1" s="110"/>
      <c r="WVC1" s="110"/>
      <c r="WVD1" s="110"/>
      <c r="WVE1" s="110"/>
      <c r="WVF1" s="110"/>
      <c r="WVG1" s="110"/>
      <c r="WVH1" s="110"/>
      <c r="WVI1" s="110"/>
      <c r="WVJ1" s="110"/>
      <c r="WVK1" s="110"/>
      <c r="WVL1" s="110"/>
      <c r="WVM1" s="110"/>
      <c r="WVN1" s="110"/>
      <c r="WVO1" s="110"/>
      <c r="WVP1" s="110"/>
      <c r="WVQ1" s="110"/>
      <c r="WVR1" s="110"/>
      <c r="WVS1" s="110"/>
      <c r="WVT1" s="110"/>
      <c r="WVU1" s="110"/>
      <c r="WVV1" s="110"/>
      <c r="WVW1" s="110"/>
      <c r="WVX1" s="110"/>
      <c r="WVY1" s="110"/>
      <c r="WVZ1" s="110"/>
      <c r="WWA1" s="110"/>
      <c r="WWB1" s="110"/>
      <c r="WWC1" s="110"/>
      <c r="WWD1" s="110"/>
      <c r="WWE1" s="110"/>
      <c r="WWF1" s="110"/>
      <c r="WWG1" s="110"/>
      <c r="WWH1" s="110"/>
      <c r="WWI1" s="110"/>
      <c r="WWJ1" s="110"/>
      <c r="WWK1" s="110"/>
      <c r="WWL1" s="110"/>
      <c r="WWM1" s="110"/>
      <c r="WWN1" s="110"/>
      <c r="WWO1" s="110"/>
      <c r="WWP1" s="110"/>
      <c r="WWQ1" s="110"/>
      <c r="WWR1" s="110"/>
      <c r="WWS1" s="110"/>
      <c r="WWT1" s="110"/>
      <c r="WWU1" s="110"/>
      <c r="WWV1" s="110"/>
      <c r="WWW1" s="110"/>
      <c r="WWX1" s="110"/>
      <c r="WWY1" s="110"/>
      <c r="WWZ1" s="110"/>
      <c r="WXA1" s="110"/>
      <c r="WXB1" s="110"/>
      <c r="WXC1" s="110"/>
      <c r="WXD1" s="110"/>
      <c r="WXE1" s="110"/>
      <c r="WXF1" s="110"/>
      <c r="WXG1" s="110"/>
      <c r="WXH1" s="110"/>
      <c r="WXI1" s="110"/>
      <c r="WXJ1" s="110"/>
      <c r="WXK1" s="110"/>
      <c r="WXL1" s="110"/>
      <c r="WXM1" s="110"/>
      <c r="WXN1" s="110"/>
      <c r="WXO1" s="110"/>
      <c r="WXP1" s="110"/>
      <c r="WXQ1" s="110"/>
      <c r="WXR1" s="110"/>
      <c r="WXS1" s="110"/>
      <c r="WXT1" s="110"/>
      <c r="WXU1" s="110"/>
      <c r="WXV1" s="110"/>
      <c r="WXW1" s="110"/>
      <c r="WXX1" s="110"/>
      <c r="WXY1" s="110"/>
      <c r="WXZ1" s="110"/>
      <c r="WYA1" s="110"/>
      <c r="WYB1" s="110"/>
      <c r="WYC1" s="110"/>
      <c r="WYD1" s="110"/>
      <c r="WYE1" s="110"/>
      <c r="WYF1" s="110"/>
      <c r="WYG1" s="110"/>
      <c r="WYH1" s="110"/>
      <c r="WYI1" s="110"/>
      <c r="WYJ1" s="110"/>
      <c r="WYK1" s="110"/>
      <c r="WYL1" s="110"/>
      <c r="WYM1" s="110"/>
      <c r="WYN1" s="110"/>
      <c r="WYO1" s="110"/>
      <c r="WYP1" s="110"/>
      <c r="WYQ1" s="110"/>
      <c r="WYR1" s="110"/>
      <c r="WYS1" s="110"/>
      <c r="WYT1" s="110"/>
      <c r="WYU1" s="110"/>
      <c r="WYV1" s="110"/>
      <c r="WYW1" s="110"/>
      <c r="WYX1" s="110"/>
      <c r="WYY1" s="110"/>
      <c r="WYZ1" s="110"/>
      <c r="WZA1" s="110"/>
      <c r="WZB1" s="110"/>
      <c r="WZC1" s="110"/>
      <c r="WZD1" s="110"/>
      <c r="WZE1" s="110"/>
      <c r="WZF1" s="110"/>
      <c r="WZG1" s="110"/>
      <c r="WZH1" s="110"/>
      <c r="WZI1" s="110"/>
      <c r="WZJ1" s="110"/>
      <c r="WZK1" s="110"/>
      <c r="WZL1" s="110"/>
      <c r="WZM1" s="110"/>
      <c r="WZN1" s="110"/>
      <c r="WZO1" s="110"/>
      <c r="WZP1" s="110"/>
      <c r="WZQ1" s="110"/>
      <c r="WZR1" s="110"/>
      <c r="WZS1" s="110"/>
      <c r="WZT1" s="110"/>
      <c r="WZU1" s="110"/>
      <c r="WZV1" s="110"/>
      <c r="WZW1" s="110"/>
      <c r="WZX1" s="110"/>
      <c r="WZY1" s="110"/>
      <c r="WZZ1" s="110"/>
      <c r="XAA1" s="110"/>
      <c r="XAB1" s="110"/>
      <c r="XAC1" s="110"/>
      <c r="XAD1" s="110"/>
      <c r="XAE1" s="110"/>
      <c r="XAF1" s="110"/>
      <c r="XAG1" s="110"/>
      <c r="XAH1" s="110"/>
      <c r="XAI1" s="110"/>
      <c r="XAJ1" s="110"/>
      <c r="XAK1" s="110"/>
      <c r="XAL1" s="110"/>
      <c r="XAM1" s="110"/>
      <c r="XAN1" s="110"/>
      <c r="XAO1" s="110"/>
      <c r="XAP1" s="110"/>
      <c r="XAQ1" s="110"/>
      <c r="XAR1" s="110"/>
      <c r="XAS1" s="110"/>
      <c r="XAT1" s="110"/>
      <c r="XAU1" s="110"/>
      <c r="XAV1" s="110"/>
      <c r="XAW1" s="110"/>
      <c r="XAX1" s="110"/>
      <c r="XAY1" s="110"/>
      <c r="XAZ1" s="110"/>
      <c r="XBA1" s="110"/>
      <c r="XBB1" s="110"/>
      <c r="XBC1" s="110"/>
      <c r="XBD1" s="110"/>
      <c r="XBE1" s="110"/>
      <c r="XBF1" s="110"/>
      <c r="XBG1" s="110"/>
      <c r="XBH1" s="110"/>
      <c r="XBI1" s="110"/>
      <c r="XBJ1" s="110"/>
      <c r="XBK1" s="110"/>
      <c r="XBL1" s="110"/>
      <c r="XBM1" s="110"/>
      <c r="XBN1" s="110"/>
      <c r="XBO1" s="110"/>
      <c r="XBP1" s="110"/>
      <c r="XBQ1" s="110"/>
      <c r="XBR1" s="110"/>
      <c r="XBS1" s="110"/>
      <c r="XBT1" s="110"/>
      <c r="XBU1" s="110"/>
      <c r="XBV1" s="110"/>
      <c r="XBW1" s="110"/>
      <c r="XBX1" s="110"/>
      <c r="XBY1" s="110"/>
      <c r="XBZ1" s="110"/>
      <c r="XCA1" s="110"/>
      <c r="XCB1" s="110"/>
      <c r="XCC1" s="110"/>
      <c r="XCD1" s="110"/>
      <c r="XCE1" s="110"/>
      <c r="XCF1" s="110"/>
      <c r="XCG1" s="110"/>
      <c r="XCH1" s="110"/>
      <c r="XCI1" s="110"/>
      <c r="XCJ1" s="110"/>
      <c r="XCK1" s="110"/>
      <c r="XCL1" s="110"/>
      <c r="XCM1" s="110"/>
      <c r="XCN1" s="110"/>
      <c r="XCO1" s="110"/>
      <c r="XCP1" s="110"/>
      <c r="XCQ1" s="110"/>
      <c r="XCR1" s="110"/>
      <c r="XCS1" s="110"/>
      <c r="XCT1" s="110"/>
      <c r="XCU1" s="110"/>
      <c r="XCV1" s="110"/>
      <c r="XCW1" s="110"/>
      <c r="XCX1" s="110"/>
      <c r="XCY1" s="110"/>
      <c r="XCZ1" s="110"/>
      <c r="XDA1" s="110"/>
      <c r="XDB1" s="110"/>
      <c r="XDC1" s="110"/>
      <c r="XDD1" s="110"/>
      <c r="XDE1" s="110"/>
      <c r="XDF1" s="110"/>
      <c r="XDG1" s="110"/>
      <c r="XDH1" s="110"/>
      <c r="XDI1" s="110"/>
      <c r="XDJ1" s="110"/>
      <c r="XDK1" s="110"/>
      <c r="XDL1" s="110"/>
      <c r="XDM1" s="110"/>
      <c r="XDN1" s="110"/>
      <c r="XDO1" s="110"/>
      <c r="XDP1" s="110"/>
      <c r="XDQ1" s="110"/>
      <c r="XDR1" s="110"/>
      <c r="XDS1" s="110"/>
      <c r="XDT1" s="110"/>
      <c r="XDU1" s="110"/>
      <c r="XDV1" s="110"/>
      <c r="XDW1" s="110"/>
      <c r="XDX1" s="110"/>
      <c r="XDY1" s="110"/>
      <c r="XDZ1" s="110"/>
      <c r="XEA1" s="110"/>
      <c r="XEB1" s="110"/>
      <c r="XEC1" s="110"/>
      <c r="XED1" s="110"/>
      <c r="XEE1" s="110"/>
      <c r="XEF1" s="110"/>
      <c r="XEG1" s="110"/>
      <c r="XEH1" s="110"/>
      <c r="XEI1" s="110"/>
      <c r="XEJ1" s="110"/>
      <c r="XEK1" s="110"/>
      <c r="XEL1" s="110"/>
      <c r="XEM1" s="110"/>
      <c r="XEN1" s="110"/>
      <c r="XEO1" s="110"/>
      <c r="XEP1" s="110"/>
      <c r="XEQ1" s="110"/>
      <c r="XER1" s="110"/>
      <c r="XES1" s="110"/>
      <c r="XET1" s="110"/>
      <c r="XEU1" s="110"/>
      <c r="XEV1" s="110"/>
      <c r="XEW1" s="110"/>
      <c r="XEX1" s="110"/>
      <c r="XEY1" s="110"/>
      <c r="XEZ1" s="110"/>
      <c r="XFA1" s="110"/>
      <c r="XFB1" s="110"/>
      <c r="XFC1" s="110"/>
      <c r="XFD1" s="110"/>
    </row>
    <row r="2" spans="1:16384" ht="17" thickBot="1">
      <c r="AA2" s="11" t="str">
        <f ca="1"/>
        <v>FCC Catalyst (USY w/ RE)</v>
      </c>
    </row>
    <row r="3" spans="1:16384" ht="21" thickBot="1">
      <c r="B3" s="417" t="s">
        <v>1063</v>
      </c>
      <c r="C3" s="418"/>
      <c r="D3" s="418"/>
      <c r="E3" s="419"/>
      <c r="AA3" s="11" t="str">
        <f ca="1"/>
        <v>Magnesia/Alumina</v>
      </c>
    </row>
    <row r="4" spans="1:16384">
      <c r="B4" s="13"/>
      <c r="C4" s="14"/>
      <c r="D4" s="14"/>
      <c r="E4" s="15"/>
      <c r="AA4" s="11" t="str">
        <f ca="1"/>
        <v>Metal Carbide (Bulk)</v>
      </c>
    </row>
    <row r="5" spans="1:16384">
      <c r="B5" s="16"/>
      <c r="C5" s="17" t="s">
        <v>1731</v>
      </c>
      <c r="D5" s="18"/>
      <c r="E5" s="19"/>
      <c r="AA5" s="11" t="str">
        <f ca="1"/>
        <v>Metal Carbide on Metal Oxide</v>
      </c>
    </row>
    <row r="6" spans="1:16384">
      <c r="B6" s="16"/>
      <c r="C6" s="138" t="s">
        <v>958</v>
      </c>
      <c r="D6" s="388" t="str">
        <f>IFERROR(1/(1/StepOrderSize),"-----")</f>
        <v>-----</v>
      </c>
      <c r="E6" s="255" t="s">
        <v>406</v>
      </c>
      <c r="AA6" s="11" t="str">
        <f ca="1"/>
        <v>Metal (Earth Abundant) on Metal Oxide</v>
      </c>
    </row>
    <row r="7" spans="1:16384">
      <c r="B7" s="16"/>
      <c r="C7" s="138" t="s">
        <v>957</v>
      </c>
      <c r="D7" s="389" t="str">
        <f>IFERROR(D6*VLOOKUP(E6,UnitConv[],5,FALSE)/VLOOKUP(OutMassUnit,UnitConv[],5,FALSE),"-----")</f>
        <v>-----</v>
      </c>
      <c r="E7" s="255" t="str">
        <f>IF(OutMassUnit="","",OutMassUnit)</f>
        <v>lb</v>
      </c>
      <c r="AA7" s="11" t="str">
        <f ca="1"/>
        <v>Metal (PGM) on Carbon</v>
      </c>
    </row>
    <row r="8" spans="1:16384">
      <c r="B8" s="16"/>
      <c r="C8" s="138" t="s">
        <v>912</v>
      </c>
      <c r="D8" s="388" t="str">
        <f>StepEquipSize</f>
        <v/>
      </c>
      <c r="E8" s="255"/>
      <c r="AA8" s="11" t="str">
        <f ca="1"/>
        <v>Metal (PGM) on Metal Oxide</v>
      </c>
    </row>
    <row r="9" spans="1:16384">
      <c r="B9" s="16"/>
      <c r="C9" s="138" t="s">
        <v>955</v>
      </c>
      <c r="D9" s="388" t="str">
        <f>StepCampaignTime</f>
        <v/>
      </c>
      <c r="E9" s="255" t="s">
        <v>956</v>
      </c>
      <c r="AA9" s="11" t="str">
        <f ca="1"/>
        <v>Red Mud</v>
      </c>
    </row>
    <row r="10" spans="1:16384">
      <c r="B10" s="16"/>
      <c r="C10" s="138"/>
      <c r="D10" s="245"/>
      <c r="E10" s="255"/>
      <c r="AA10" s="11" t="str">
        <f ca="1"/>
        <v>Zeolite Beta (Bulk)</v>
      </c>
    </row>
    <row r="11" spans="1:16384">
      <c r="B11" s="16"/>
      <c r="C11" s="17" t="s">
        <v>1065</v>
      </c>
      <c r="D11" s="245"/>
      <c r="E11" s="255"/>
      <c r="AA11" s="11" t="str">
        <f ca="1"/>
        <v>Zeolite Beta with Metal Active Site</v>
      </c>
    </row>
    <row r="12" spans="1:16384">
      <c r="B12" s="16"/>
      <c r="C12" s="425"/>
      <c r="D12" s="426"/>
      <c r="E12" s="255"/>
      <c r="AA12" s="11" t="str">
        <f ca="1"/>
        <v>Zeolite ZSM-5 (Bulk)</v>
      </c>
    </row>
    <row r="13" spans="1:16384">
      <c r="B13" s="16"/>
      <c r="C13" s="17"/>
      <c r="D13" s="245"/>
      <c r="E13" s="255"/>
      <c r="AA13" s="11" t="str">
        <f ca="1"/>
        <v>Zeolite ZSM-5 Diluted with Metal Oxide</v>
      </c>
    </row>
    <row r="14" spans="1:16384">
      <c r="B14" s="16"/>
      <c r="C14" s="17" t="s">
        <v>1066</v>
      </c>
      <c r="D14" s="245"/>
      <c r="E14" s="255"/>
      <c r="AA14" s="11" t="str">
        <f ca="1"/>
        <v/>
      </c>
    </row>
    <row r="15" spans="1:16384">
      <c r="B15" s="16"/>
      <c r="C15" s="20" t="s">
        <v>953</v>
      </c>
      <c r="D15" s="345" t="str">
        <f ca="1">IF($C$12="","&lt; Select Template &gt;",OFFSET(INDEX(C:C,MATCH("Name: "&amp;$C$12,C:C,0)),-1,2))</f>
        <v>&lt; Select Template &gt;</v>
      </c>
      <c r="E15" s="340" t="s">
        <v>1067</v>
      </c>
      <c r="AA15" s="11" t="str">
        <f ca="1"/>
        <v/>
      </c>
    </row>
    <row r="16" spans="1:16384">
      <c r="B16" s="16"/>
      <c r="C16" s="20" t="s">
        <v>954</v>
      </c>
      <c r="D16" s="345" t="str">
        <f ca="1">IF($C$12="","&lt; Select Template &gt;",OFFSET(INDEX(C:C,MATCH("Name: "&amp;$C$12,C:C,0)),-1,3))</f>
        <v>&lt; Select Template &gt;</v>
      </c>
      <c r="E16" s="340" t="s">
        <v>1068</v>
      </c>
      <c r="AA16" s="11" t="str">
        <f ca="1"/>
        <v/>
      </c>
    </row>
    <row r="17" spans="2:27">
      <c r="B17" s="16"/>
      <c r="C17" s="121" t="str">
        <f>"Cost ($/"&amp;OutMassUnit&amp;" catalyst)"</f>
        <v>Cost ($/lb catalyst)</v>
      </c>
      <c r="D17" s="346" t="str">
        <f ca="1">IF($C$12="","&lt; Select Template &gt;",OFFSET(INDEX(C:C,MATCH("Name: "&amp;$C$12,C:C,0)),-1,4))</f>
        <v>&lt; Select Template &gt;</v>
      </c>
      <c r="E17" s="340" t="str">
        <f>"/"&amp;OutMassUnit&amp;" catalyst"</f>
        <v>/lb catalyst</v>
      </c>
      <c r="AA17" s="11" t="str">
        <f ca="1"/>
        <v/>
      </c>
    </row>
    <row r="18" spans="2:27" ht="17" thickBot="1">
      <c r="B18" s="21"/>
      <c r="C18" s="202"/>
      <c r="D18" s="249"/>
      <c r="E18" s="23"/>
      <c r="AA18" s="11" t="str">
        <f ca="1"/>
        <v/>
      </c>
    </row>
    <row r="19" spans="2:27">
      <c r="AA19" s="11" t="str">
        <f ca="1"/>
        <v/>
      </c>
    </row>
    <row r="20" spans="2:27" ht="21" thickBot="1">
      <c r="B20" s="387" t="s">
        <v>1054</v>
      </c>
      <c r="C20" s="387"/>
      <c r="D20" s="387"/>
      <c r="E20" s="387"/>
      <c r="F20" s="387"/>
      <c r="G20" s="387"/>
      <c r="H20" s="387"/>
      <c r="AA20" s="11" t="str">
        <f ca="1"/>
        <v/>
      </c>
    </row>
    <row r="21" spans="2:27">
      <c r="B21" s="315" t="s">
        <v>1022</v>
      </c>
      <c r="AA21" s="11" t="str">
        <f ca="1"/>
        <v/>
      </c>
    </row>
    <row r="22" spans="2:27" ht="17" thickBot="1">
      <c r="AA22" s="11" t="str">
        <f ca="1"/>
        <v/>
      </c>
    </row>
    <row r="23" spans="2:27" ht="21" thickBot="1">
      <c r="B23" s="355" t="str">
        <f>"User Entry: "&amp;C26</f>
        <v>User Entry: Custom Step Process</v>
      </c>
      <c r="C23" s="356"/>
      <c r="D23" s="356"/>
      <c r="E23" s="356"/>
      <c r="F23" s="356"/>
      <c r="G23" s="356"/>
      <c r="H23" s="357"/>
      <c r="AA23" s="11" t="str">
        <f ca="1"/>
        <v/>
      </c>
    </row>
    <row r="24" spans="2:27" hidden="1" outlineLevel="1">
      <c r="B24" s="13"/>
      <c r="C24" s="14"/>
      <c r="D24" s="14"/>
      <c r="E24" s="14"/>
      <c r="F24" s="14"/>
      <c r="G24" s="14"/>
      <c r="H24" s="15"/>
      <c r="J24" s="201"/>
      <c r="AA24" s="11" t="str">
        <f ca="1"/>
        <v/>
      </c>
    </row>
    <row r="25" spans="2:27" hidden="1" outlineLevel="1">
      <c r="B25" s="16"/>
      <c r="C25" s="17" t="s">
        <v>1055</v>
      </c>
      <c r="D25" s="256" t="s">
        <v>961</v>
      </c>
      <c r="E25" s="64" t="s">
        <v>953</v>
      </c>
      <c r="F25" s="64" t="s">
        <v>954</v>
      </c>
      <c r="G25" s="64" t="str">
        <f>"Cost ($/"&amp;OutMassUnit&amp;" catalyst)"</f>
        <v>Cost ($/lb catalyst)</v>
      </c>
      <c r="H25" s="250"/>
      <c r="J25" s="201"/>
      <c r="AA25" s="11" t="str">
        <f ca="1"/>
        <v/>
      </c>
    </row>
    <row r="26" spans="2:27" hidden="1" outlineLevel="1">
      <c r="B26" s="16"/>
      <c r="C26" s="18" t="s">
        <v>1064</v>
      </c>
      <c r="D26" s="18"/>
      <c r="E26" s="344">
        <f>IF(COUNTIF(E30:E49,"*")-COUNTBLANK(E30:E49)&gt;0,"Check entries",SUM(E30:E49))</f>
        <v>0</v>
      </c>
      <c r="F26" s="344">
        <f>IF(COUNTIF(F30:F49,"*")-COUNTBLANK(F30:F49)&gt;0,"Check entries",SUM(F30:F49))</f>
        <v>0</v>
      </c>
      <c r="G26" s="343">
        <f>IF(COUNTIF(G30:G49,"*")-COUNTBLANK(G30:G49)&gt;0,"Check entries",SUM(G30:G49))</f>
        <v>0</v>
      </c>
      <c r="H26" s="336"/>
      <c r="J26" s="201"/>
      <c r="AA26" s="11" t="str">
        <f ca="1"/>
        <v/>
      </c>
    </row>
    <row r="27" spans="2:27" ht="17" hidden="1" outlineLevel="1" thickBot="1">
      <c r="B27" s="21"/>
      <c r="C27" s="354" t="str">
        <f>"Name: "&amp;C26</f>
        <v>Name: Custom Step Process</v>
      </c>
      <c r="D27" s="22"/>
      <c r="E27" s="22"/>
      <c r="F27" s="22"/>
      <c r="G27" s="22"/>
      <c r="H27" s="23"/>
      <c r="J27" s="201"/>
      <c r="AA27" s="11" t="str">
        <f ca="1"/>
        <v/>
      </c>
    </row>
    <row r="28" spans="2:27" hidden="1" outlineLevel="1">
      <c r="B28" s="16"/>
      <c r="C28" s="18"/>
      <c r="D28" s="18"/>
      <c r="E28" s="18"/>
      <c r="F28" s="18"/>
      <c r="G28" s="18"/>
      <c r="H28" s="18"/>
      <c r="I28" s="14"/>
      <c r="J28" s="15"/>
      <c r="AA28" s="11" t="str">
        <f ca="1"/>
        <v/>
      </c>
    </row>
    <row r="29" spans="2:27" hidden="1" outlineLevel="1">
      <c r="B29" s="16"/>
      <c r="C29" s="339" t="s">
        <v>937</v>
      </c>
      <c r="D29" s="339" t="s">
        <v>309</v>
      </c>
      <c r="E29" s="339" t="s">
        <v>953</v>
      </c>
      <c r="F29" s="339" t="s">
        <v>954</v>
      </c>
      <c r="G29" s="339" t="str">
        <f>"Cost ($/"&amp;OutMassUnit&amp;" catalyst)"</f>
        <v>Cost ($/lb catalyst)</v>
      </c>
      <c r="H29" s="339"/>
      <c r="I29" s="339" t="s">
        <v>207</v>
      </c>
      <c r="J29" s="250"/>
      <c r="AA29" s="11" t="str">
        <f ca="1"/>
        <v/>
      </c>
    </row>
    <row r="30" spans="2:27" hidden="1" outlineLevel="1">
      <c r="B30" s="16"/>
      <c r="C30" s="69"/>
      <c r="D30" s="246"/>
      <c r="E30" s="342" t="str">
        <f>IF(ISBLANK(C30),"",IFERROR(IF(fnStepCostHourly=0,fnStepNotAvail,IF(ISBLANK(D30),"",fnStepCostHourly*$D30*VLOOKUP(BasisYear,ChemPPI[],14,FALSE)/VLOOKUP(2017,ChemPPI[],14,FALSE))),""))</f>
        <v/>
      </c>
      <c r="F30" s="342" t="str">
        <f t="shared" ref="F30:F49" si="0">IFERROR($E30*$D$9*24,$E30)</f>
        <v/>
      </c>
      <c r="G30" s="341" t="str">
        <f t="shared" ref="G30:G49" si="1">IFERROR($F30/$D$7,$F30)</f>
        <v/>
      </c>
      <c r="H30" s="248"/>
      <c r="I30" s="247" t="str">
        <f>IFERROR(VLOOKUP($C30,Steps[],5,FALSE),"")</f>
        <v/>
      </c>
      <c r="J30" s="251"/>
    </row>
    <row r="31" spans="2:27" hidden="1" outlineLevel="1">
      <c r="B31" s="16"/>
      <c r="C31" s="69"/>
      <c r="D31" s="246"/>
      <c r="E31" s="342" t="str">
        <f>IF(ISBLANK(C31),"",IFERROR(IF(fnStepCostHourly=0,fnStepNotAvail,IF(ISBLANK(D31),"",fnStepCostHourly*$D31*VLOOKUP(BasisYear,ChemPPI[],14,FALSE)/VLOOKUP(2017,ChemPPI[],14,FALSE))),""))</f>
        <v/>
      </c>
      <c r="F31" s="342" t="str">
        <f t="shared" si="0"/>
        <v/>
      </c>
      <c r="G31" s="341" t="str">
        <f t="shared" si="1"/>
        <v/>
      </c>
      <c r="H31" s="248"/>
      <c r="I31" s="247" t="str">
        <f>IFERROR(VLOOKUP($C31,Steps[],5,FALSE),"")</f>
        <v/>
      </c>
      <c r="J31" s="251"/>
    </row>
    <row r="32" spans="2:27" hidden="1" outlineLevel="1">
      <c r="B32" s="16"/>
      <c r="C32" s="69"/>
      <c r="D32" s="246"/>
      <c r="E32" s="342" t="str">
        <f>IF(ISBLANK(C32),"",IFERROR(IF(fnStepCostHourly=0,fnStepNotAvail,IF(ISBLANK(D32),"",fnStepCostHourly*$D32*VLOOKUP(BasisYear,ChemPPI[],14,FALSE)/VLOOKUP(2017,ChemPPI[],14,FALSE))),""))</f>
        <v/>
      </c>
      <c r="F32" s="342" t="str">
        <f t="shared" si="0"/>
        <v/>
      </c>
      <c r="G32" s="341" t="str">
        <f t="shared" si="1"/>
        <v/>
      </c>
      <c r="H32" s="248"/>
      <c r="I32" s="247" t="str">
        <f>IFERROR(VLOOKUP($C32,Steps[],5,FALSE),"")</f>
        <v/>
      </c>
      <c r="J32" s="251"/>
    </row>
    <row r="33" spans="2:10" hidden="1" outlineLevel="1">
      <c r="B33" s="16"/>
      <c r="C33" s="69"/>
      <c r="D33" s="246"/>
      <c r="E33" s="342" t="str">
        <f>IF(ISBLANK(C33),"",IFERROR(IF(fnStepCostHourly=0,fnStepNotAvail,IF(ISBLANK(D33),"",fnStepCostHourly*$D33*VLOOKUP(BasisYear,ChemPPI[],14,FALSE)/VLOOKUP(2017,ChemPPI[],14,FALSE))),""))</f>
        <v/>
      </c>
      <c r="F33" s="342" t="str">
        <f t="shared" si="0"/>
        <v/>
      </c>
      <c r="G33" s="341" t="str">
        <f t="shared" si="1"/>
        <v/>
      </c>
      <c r="H33" s="248"/>
      <c r="I33" s="247" t="str">
        <f>IFERROR(VLOOKUP($C33,Steps[],5,FALSE),"")</f>
        <v/>
      </c>
      <c r="J33" s="251"/>
    </row>
    <row r="34" spans="2:10" hidden="1" outlineLevel="1">
      <c r="B34" s="16"/>
      <c r="C34" s="69"/>
      <c r="D34" s="246"/>
      <c r="E34" s="342" t="str">
        <f>IF(ISBLANK(C34),"",IFERROR(IF(fnStepCostHourly=0,fnStepNotAvail,IF(ISBLANK(D34),"",fnStepCostHourly*$D34*VLOOKUP(BasisYear,ChemPPI[],14,FALSE)/VLOOKUP(2017,ChemPPI[],14,FALSE))),""))</f>
        <v/>
      </c>
      <c r="F34" s="342" t="str">
        <f t="shared" si="0"/>
        <v/>
      </c>
      <c r="G34" s="341" t="str">
        <f t="shared" si="1"/>
        <v/>
      </c>
      <c r="H34" s="248"/>
      <c r="I34" s="247" t="str">
        <f>IFERROR(VLOOKUP($C34,Steps[],5,FALSE),"")</f>
        <v/>
      </c>
      <c r="J34" s="251"/>
    </row>
    <row r="35" spans="2:10" hidden="1" outlineLevel="1">
      <c r="B35" s="16"/>
      <c r="C35" s="69"/>
      <c r="D35" s="246"/>
      <c r="E35" s="342" t="str">
        <f>IF(ISBLANK(C35),"",IFERROR(IF(fnStepCostHourly=0,fnStepNotAvail,IF(ISBLANK(D35),"",fnStepCostHourly*$D35*VLOOKUP(BasisYear,ChemPPI[],14,FALSE)/VLOOKUP(2017,ChemPPI[],14,FALSE))),""))</f>
        <v/>
      </c>
      <c r="F35" s="342" t="str">
        <f t="shared" si="0"/>
        <v/>
      </c>
      <c r="G35" s="341" t="str">
        <f t="shared" si="1"/>
        <v/>
      </c>
      <c r="H35" s="248"/>
      <c r="I35" s="247" t="str">
        <f>IFERROR(VLOOKUP($C35,Steps[],5,FALSE),"")</f>
        <v/>
      </c>
      <c r="J35" s="251"/>
    </row>
    <row r="36" spans="2:10" hidden="1" outlineLevel="1">
      <c r="B36" s="16"/>
      <c r="C36" s="69"/>
      <c r="D36" s="246"/>
      <c r="E36" s="342" t="str">
        <f>IF(ISBLANK(C36),"",IFERROR(IF(fnStepCostHourly=0,fnStepNotAvail,IF(ISBLANK(D36),"",fnStepCostHourly*$D36*VLOOKUP(BasisYear,ChemPPI[],14,FALSE)/VLOOKUP(2017,ChemPPI[],14,FALSE))),""))</f>
        <v/>
      </c>
      <c r="F36" s="342" t="str">
        <f t="shared" si="0"/>
        <v/>
      </c>
      <c r="G36" s="341" t="str">
        <f t="shared" si="1"/>
        <v/>
      </c>
      <c r="H36" s="248"/>
      <c r="I36" s="247" t="str">
        <f>IFERROR(VLOOKUP($C36,Steps[],5,FALSE),"")</f>
        <v/>
      </c>
      <c r="J36" s="251"/>
    </row>
    <row r="37" spans="2:10" hidden="1" outlineLevel="1">
      <c r="B37" s="16"/>
      <c r="C37" s="69"/>
      <c r="D37" s="246"/>
      <c r="E37" s="342" t="str">
        <f>IF(ISBLANK(C37),"",IFERROR(IF(fnStepCostHourly=0,fnStepNotAvail,IF(ISBLANK(D37),"",fnStepCostHourly*$D37*VLOOKUP(BasisYear,ChemPPI[],14,FALSE)/VLOOKUP(2017,ChemPPI[],14,FALSE))),""))</f>
        <v/>
      </c>
      <c r="F37" s="342" t="str">
        <f t="shared" si="0"/>
        <v/>
      </c>
      <c r="G37" s="341" t="str">
        <f t="shared" si="1"/>
        <v/>
      </c>
      <c r="H37" s="248"/>
      <c r="I37" s="247" t="str">
        <f>IFERROR(VLOOKUP($C37,Steps[],5,FALSE),"")</f>
        <v/>
      </c>
      <c r="J37" s="251"/>
    </row>
    <row r="38" spans="2:10" hidden="1" outlineLevel="1">
      <c r="B38" s="16"/>
      <c r="C38" s="69"/>
      <c r="D38" s="246"/>
      <c r="E38" s="342" t="str">
        <f>IF(ISBLANK(C38),"",IFERROR(IF(fnStepCostHourly=0,fnStepNotAvail,IF(ISBLANK(D38),"",fnStepCostHourly*$D38*VLOOKUP(BasisYear,ChemPPI[],14,FALSE)/VLOOKUP(2017,ChemPPI[],14,FALSE))),""))</f>
        <v/>
      </c>
      <c r="F38" s="342" t="str">
        <f t="shared" si="0"/>
        <v/>
      </c>
      <c r="G38" s="341" t="str">
        <f t="shared" si="1"/>
        <v/>
      </c>
      <c r="H38" s="248"/>
      <c r="I38" s="247" t="str">
        <f>IFERROR(VLOOKUP($C38,Steps[],5,FALSE),"")</f>
        <v/>
      </c>
      <c r="J38" s="251"/>
    </row>
    <row r="39" spans="2:10" hidden="1" outlineLevel="1">
      <c r="B39" s="16"/>
      <c r="C39" s="69"/>
      <c r="D39" s="246"/>
      <c r="E39" s="342" t="str">
        <f>IF(ISBLANK(C39),"",IFERROR(IF(fnStepCostHourly=0,fnStepNotAvail,IF(ISBLANK(D39),"",fnStepCostHourly*$D39*VLOOKUP(BasisYear,ChemPPI[],14,FALSE)/VLOOKUP(2017,ChemPPI[],14,FALSE))),""))</f>
        <v/>
      </c>
      <c r="F39" s="342" t="str">
        <f t="shared" si="0"/>
        <v/>
      </c>
      <c r="G39" s="341" t="str">
        <f t="shared" si="1"/>
        <v/>
      </c>
      <c r="H39" s="248"/>
      <c r="I39" s="247" t="str">
        <f>IFERROR(VLOOKUP($C39,Steps[],5,FALSE),"")</f>
        <v/>
      </c>
      <c r="J39" s="251"/>
    </row>
    <row r="40" spans="2:10" hidden="1" outlineLevel="1">
      <c r="B40" s="16"/>
      <c r="C40" s="69"/>
      <c r="D40" s="246"/>
      <c r="E40" s="342" t="str">
        <f>IF(ISBLANK(C40),"",IFERROR(IF(fnStepCostHourly=0,fnStepNotAvail,IF(ISBLANK(D40),"",fnStepCostHourly*$D40*VLOOKUP(BasisYear,ChemPPI[],14,FALSE)/VLOOKUP(2017,ChemPPI[],14,FALSE))),""))</f>
        <v/>
      </c>
      <c r="F40" s="342" t="str">
        <f t="shared" si="0"/>
        <v/>
      </c>
      <c r="G40" s="341" t="str">
        <f t="shared" si="1"/>
        <v/>
      </c>
      <c r="H40" s="248"/>
      <c r="I40" s="247" t="str">
        <f>IFERROR(VLOOKUP($C40,Steps[],5,FALSE),"")</f>
        <v/>
      </c>
      <c r="J40" s="251"/>
    </row>
    <row r="41" spans="2:10" hidden="1" outlineLevel="1">
      <c r="B41" s="16"/>
      <c r="C41" s="69"/>
      <c r="D41" s="246"/>
      <c r="E41" s="342" t="str">
        <f>IF(ISBLANK(C41),"",IFERROR(IF(fnStepCostHourly=0,fnStepNotAvail,IF(ISBLANK(D41),"",fnStepCostHourly*$D41*VLOOKUP(BasisYear,ChemPPI[],14,FALSE)/VLOOKUP(2017,ChemPPI[],14,FALSE))),""))</f>
        <v/>
      </c>
      <c r="F41" s="342" t="str">
        <f t="shared" si="0"/>
        <v/>
      </c>
      <c r="G41" s="341" t="str">
        <f t="shared" si="1"/>
        <v/>
      </c>
      <c r="H41" s="248"/>
      <c r="I41" s="247" t="str">
        <f>IFERROR(VLOOKUP($C41,Steps[],5,FALSE),"")</f>
        <v/>
      </c>
      <c r="J41" s="251"/>
    </row>
    <row r="42" spans="2:10" hidden="1" outlineLevel="1">
      <c r="B42" s="16"/>
      <c r="C42" s="69"/>
      <c r="D42" s="246"/>
      <c r="E42" s="342" t="str">
        <f>IF(ISBLANK(C42),"",IFERROR(IF(fnStepCostHourly=0,fnStepNotAvail,IF(ISBLANK(D42),"",fnStepCostHourly*$D42*VLOOKUP(BasisYear,ChemPPI[],14,FALSE)/VLOOKUP(2017,ChemPPI[],14,FALSE))),""))</f>
        <v/>
      </c>
      <c r="F42" s="342" t="str">
        <f t="shared" si="0"/>
        <v/>
      </c>
      <c r="G42" s="341" t="str">
        <f t="shared" si="1"/>
        <v/>
      </c>
      <c r="H42" s="248"/>
      <c r="I42" s="247" t="str">
        <f>IFERROR(VLOOKUP($C42,Steps[],5,FALSE),"")</f>
        <v/>
      </c>
      <c r="J42" s="251"/>
    </row>
    <row r="43" spans="2:10" hidden="1" outlineLevel="1">
      <c r="B43" s="16"/>
      <c r="C43" s="69"/>
      <c r="D43" s="246"/>
      <c r="E43" s="342" t="str">
        <f>IF(ISBLANK(C43),"",IFERROR(IF(fnStepCostHourly=0,fnStepNotAvail,IF(ISBLANK(D43),"",fnStepCostHourly*$D43*VLOOKUP(BasisYear,ChemPPI[],14,FALSE)/VLOOKUP(2017,ChemPPI[],14,FALSE))),""))</f>
        <v/>
      </c>
      <c r="F43" s="342" t="str">
        <f t="shared" si="0"/>
        <v/>
      </c>
      <c r="G43" s="341" t="str">
        <f t="shared" si="1"/>
        <v/>
      </c>
      <c r="H43" s="248"/>
      <c r="I43" s="247" t="str">
        <f>IFERROR(VLOOKUP($C43,Steps[],5,FALSE),"")</f>
        <v/>
      </c>
      <c r="J43" s="251"/>
    </row>
    <row r="44" spans="2:10" hidden="1" outlineLevel="1">
      <c r="B44" s="16"/>
      <c r="C44" s="69"/>
      <c r="D44" s="246"/>
      <c r="E44" s="342" t="str">
        <f>IF(ISBLANK(C44),"",IFERROR(IF(fnStepCostHourly=0,fnStepNotAvail,IF(ISBLANK(D44),"",fnStepCostHourly*$D44*VLOOKUP(BasisYear,ChemPPI[],14,FALSE)/VLOOKUP(2017,ChemPPI[],14,FALSE))),""))</f>
        <v/>
      </c>
      <c r="F44" s="342" t="str">
        <f t="shared" si="0"/>
        <v/>
      </c>
      <c r="G44" s="341" t="str">
        <f t="shared" si="1"/>
        <v/>
      </c>
      <c r="H44" s="248"/>
      <c r="I44" s="247" t="str">
        <f>IFERROR(VLOOKUP($C44,Steps[],5,FALSE),"")</f>
        <v/>
      </c>
      <c r="J44" s="251"/>
    </row>
    <row r="45" spans="2:10" hidden="1" outlineLevel="1">
      <c r="B45" s="16"/>
      <c r="C45" s="69"/>
      <c r="D45" s="246"/>
      <c r="E45" s="342" t="str">
        <f>IF(ISBLANK(C45),"",IFERROR(IF(fnStepCostHourly=0,fnStepNotAvail,IF(ISBLANK(D45),"",fnStepCostHourly*$D45*VLOOKUP(BasisYear,ChemPPI[],14,FALSE)/VLOOKUP(2017,ChemPPI[],14,FALSE))),""))</f>
        <v/>
      </c>
      <c r="F45" s="342" t="str">
        <f t="shared" si="0"/>
        <v/>
      </c>
      <c r="G45" s="341" t="str">
        <f t="shared" si="1"/>
        <v/>
      </c>
      <c r="H45" s="248"/>
      <c r="I45" s="247" t="str">
        <f>IFERROR(VLOOKUP($C45,Steps[],5,FALSE),"")</f>
        <v/>
      </c>
      <c r="J45" s="251"/>
    </row>
    <row r="46" spans="2:10" hidden="1" outlineLevel="1">
      <c r="B46" s="16"/>
      <c r="C46" s="69"/>
      <c r="D46" s="246"/>
      <c r="E46" s="342" t="str">
        <f>IF(ISBLANK(C46),"",IFERROR(IF(fnStepCostHourly=0,fnStepNotAvail,IF(ISBLANK(D46),"",fnStepCostHourly*$D46*VLOOKUP(BasisYear,ChemPPI[],14,FALSE)/VLOOKUP(2017,ChemPPI[],14,FALSE))),""))</f>
        <v/>
      </c>
      <c r="F46" s="342" t="str">
        <f t="shared" si="0"/>
        <v/>
      </c>
      <c r="G46" s="341" t="str">
        <f t="shared" si="1"/>
        <v/>
      </c>
      <c r="H46" s="248"/>
      <c r="I46" s="247" t="str">
        <f>IFERROR(VLOOKUP($C46,Steps[],5,FALSE),"")</f>
        <v/>
      </c>
      <c r="J46" s="251"/>
    </row>
    <row r="47" spans="2:10" hidden="1" outlineLevel="1">
      <c r="B47" s="16"/>
      <c r="C47" s="69"/>
      <c r="D47" s="246"/>
      <c r="E47" s="342" t="str">
        <f>IF(ISBLANK(C47),"",IFERROR(IF(fnStepCostHourly=0,fnStepNotAvail,IF(ISBLANK(D47),"",fnStepCostHourly*$D47*VLOOKUP(BasisYear,ChemPPI[],14,FALSE)/VLOOKUP(2017,ChemPPI[],14,FALSE))),""))</f>
        <v/>
      </c>
      <c r="F47" s="342" t="str">
        <f t="shared" si="0"/>
        <v/>
      </c>
      <c r="G47" s="341" t="str">
        <f t="shared" si="1"/>
        <v/>
      </c>
      <c r="H47" s="248"/>
      <c r="I47" s="247" t="str">
        <f>IFERROR(VLOOKUP($C47,Steps[],5,FALSE),"")</f>
        <v/>
      </c>
      <c r="J47" s="251"/>
    </row>
    <row r="48" spans="2:10" hidden="1" outlineLevel="1">
      <c r="B48" s="16"/>
      <c r="C48" s="69"/>
      <c r="D48" s="246"/>
      <c r="E48" s="342" t="str">
        <f>IF(ISBLANK(C48),"",IFERROR(IF(fnStepCostHourly=0,fnStepNotAvail,IF(ISBLANK(D48),"",fnStepCostHourly*$D48*VLOOKUP(BasisYear,ChemPPI[],14,FALSE)/VLOOKUP(2017,ChemPPI[],14,FALSE))),""))</f>
        <v/>
      </c>
      <c r="F48" s="342" t="str">
        <f t="shared" si="0"/>
        <v/>
      </c>
      <c r="G48" s="341" t="str">
        <f t="shared" si="1"/>
        <v/>
      </c>
      <c r="H48" s="248"/>
      <c r="I48" s="247" t="str">
        <f>IFERROR(VLOOKUP($C48,Steps[],5,FALSE),"")</f>
        <v/>
      </c>
      <c r="J48" s="251"/>
    </row>
    <row r="49" spans="1:10" hidden="1" outlineLevel="1">
      <c r="B49" s="16"/>
      <c r="C49" s="69"/>
      <c r="D49" s="246"/>
      <c r="E49" s="342" t="str">
        <f>IF(ISBLANK(C49),"",IFERROR(IF(fnStepCostHourly=0,fnStepNotAvail,IF(ISBLANK(D49),"",fnStepCostHourly*$D49*VLOOKUP(BasisYear,ChemPPI[],14,FALSE)/VLOOKUP(2017,ChemPPI[],14,FALSE))),""))</f>
        <v/>
      </c>
      <c r="F49" s="342" t="str">
        <f t="shared" si="0"/>
        <v/>
      </c>
      <c r="G49" s="341" t="str">
        <f t="shared" si="1"/>
        <v/>
      </c>
      <c r="H49" s="248"/>
      <c r="I49" s="247" t="str">
        <f>IFERROR(VLOOKUP($C49,Steps[],5,FALSE),"")</f>
        <v/>
      </c>
      <c r="J49" s="251"/>
    </row>
    <row r="50" spans="1:10" ht="17" hidden="1" outlineLevel="1" thickBot="1">
      <c r="B50" s="252"/>
      <c r="C50" s="253"/>
      <c r="D50" s="253"/>
      <c r="E50" s="253"/>
      <c r="F50" s="253"/>
      <c r="G50" s="253"/>
      <c r="H50" s="253"/>
      <c r="I50" s="253"/>
      <c r="J50" s="254"/>
    </row>
    <row r="51" spans="1:10" ht="17" collapsed="1" thickBot="1">
      <c r="A51" s="314" t="str">
        <f>"&lt;– show/hide "&amp;B23</f>
        <v>&lt;– show/hide User Entry: Custom Step Process</v>
      </c>
    </row>
    <row r="52" spans="1:10" ht="21" thickBot="1">
      <c r="B52" s="355" t="str">
        <f>"Step Process Template: "&amp;C55</f>
        <v>Step Process Template: FCC Catalyst (USY w/ RE)</v>
      </c>
      <c r="C52" s="356"/>
      <c r="D52" s="356"/>
      <c r="E52" s="356"/>
      <c r="F52" s="356"/>
      <c r="G52" s="356"/>
      <c r="H52" s="357"/>
    </row>
    <row r="53" spans="1:10" hidden="1" outlineLevel="1">
      <c r="B53" s="13"/>
      <c r="C53" s="14"/>
      <c r="D53" s="14"/>
      <c r="E53" s="14"/>
      <c r="F53" s="14"/>
      <c r="G53" s="14"/>
      <c r="H53" s="15"/>
      <c r="J53" s="201"/>
    </row>
    <row r="54" spans="1:10" hidden="1" outlineLevel="1">
      <c r="B54" s="16"/>
      <c r="C54" s="17" t="s">
        <v>1055</v>
      </c>
      <c r="D54" s="256" t="s">
        <v>961</v>
      </c>
      <c r="E54" s="64" t="s">
        <v>953</v>
      </c>
      <c r="F54" s="64" t="s">
        <v>954</v>
      </c>
      <c r="G54" s="64" t="str">
        <f>"Cost ($/"&amp;OutMassUnit&amp;" catalyst)"</f>
        <v>Cost ($/lb catalyst)</v>
      </c>
      <c r="H54" s="250"/>
      <c r="J54" s="201"/>
    </row>
    <row r="55" spans="1:10" ht="16" hidden="1" customHeight="1" outlineLevel="1">
      <c r="B55" s="16"/>
      <c r="C55" s="18" t="s">
        <v>1087</v>
      </c>
      <c r="D55" s="256"/>
      <c r="E55" s="344">
        <f>SUM(E63:E84)</f>
        <v>0</v>
      </c>
      <c r="F55" s="344">
        <f>SUM(F63:F84)</f>
        <v>0</v>
      </c>
      <c r="G55" s="343">
        <f>SUM(G63:G84)</f>
        <v>0</v>
      </c>
      <c r="H55" s="336"/>
      <c r="J55" s="201"/>
    </row>
    <row r="56" spans="1:10" ht="16" hidden="1" customHeight="1" outlineLevel="1">
      <c r="B56" s="16"/>
      <c r="C56" s="353" t="str">
        <f>"Name: "&amp;C55</f>
        <v>Name: FCC Catalyst (USY w/ RE)</v>
      </c>
      <c r="D56" s="256"/>
      <c r="E56" s="347"/>
      <c r="F56" s="347"/>
      <c r="G56" s="348"/>
      <c r="H56" s="336"/>
      <c r="J56" s="201"/>
    </row>
    <row r="57" spans="1:10" ht="16" hidden="1" customHeight="1" outlineLevel="1">
      <c r="B57" s="16"/>
      <c r="C57" s="17" t="s">
        <v>1070</v>
      </c>
      <c r="D57" s="256"/>
      <c r="E57" s="347"/>
      <c r="F57" s="347"/>
      <c r="G57" s="348"/>
      <c r="H57" s="336"/>
      <c r="J57" s="201"/>
    </row>
    <row r="58" spans="1:10" ht="16" hidden="1" customHeight="1" outlineLevel="1">
      <c r="B58" s="16"/>
      <c r="C58" s="18" t="s">
        <v>1088</v>
      </c>
      <c r="D58" s="256"/>
      <c r="E58" s="347"/>
      <c r="F58" s="347"/>
      <c r="G58" s="348"/>
      <c r="H58" s="336"/>
      <c r="J58" s="201"/>
    </row>
    <row r="59" spans="1:10" ht="16" hidden="1" customHeight="1" outlineLevel="1">
      <c r="B59" s="16"/>
      <c r="C59" s="18" t="s">
        <v>1073</v>
      </c>
      <c r="D59" s="256"/>
      <c r="E59" s="347"/>
      <c r="F59" s="347"/>
      <c r="G59" s="348"/>
      <c r="H59" s="336"/>
      <c r="J59" s="201"/>
    </row>
    <row r="60" spans="1:10" ht="17" hidden="1" outlineLevel="1" thickBot="1">
      <c r="B60" s="21"/>
      <c r="C60" s="22"/>
      <c r="D60" s="22"/>
      <c r="E60" s="22"/>
      <c r="F60" s="22"/>
      <c r="G60" s="22"/>
      <c r="H60" s="23"/>
      <c r="J60" s="201"/>
    </row>
    <row r="61" spans="1:10" ht="16" hidden="1" customHeight="1" outlineLevel="1">
      <c r="B61" s="16"/>
      <c r="C61" s="18"/>
      <c r="D61" s="18"/>
      <c r="E61" s="18"/>
      <c r="F61" s="18"/>
      <c r="G61" s="18"/>
      <c r="H61" s="18"/>
      <c r="I61" s="14"/>
      <c r="J61" s="15"/>
    </row>
    <row r="62" spans="1:10" ht="17" hidden="1" customHeight="1" outlineLevel="1">
      <c r="B62" s="16"/>
      <c r="C62" s="339" t="s">
        <v>937</v>
      </c>
      <c r="D62" s="339" t="s">
        <v>309</v>
      </c>
      <c r="E62" s="339" t="s">
        <v>953</v>
      </c>
      <c r="F62" s="339" t="s">
        <v>954</v>
      </c>
      <c r="G62" s="339" t="str">
        <f>"Cost ($/"&amp;OutMassUnit&amp;" catalyst)"</f>
        <v>Cost ($/lb catalyst)</v>
      </c>
      <c r="H62" s="339"/>
      <c r="I62" s="339" t="s">
        <v>207</v>
      </c>
      <c r="J62" s="250"/>
    </row>
    <row r="63" spans="1:10" ht="16" hidden="1" customHeight="1" outlineLevel="1">
      <c r="B63" s="16"/>
      <c r="C63" s="69" t="s">
        <v>931</v>
      </c>
      <c r="D63" s="246">
        <v>1</v>
      </c>
      <c r="E63" s="342" t="str">
        <f>IF(ISBLANK(C63),"",IFERROR(IF(fnStepCostHourly=0,fnStepNotAvail,IF(ISBLANK(D63),"",fnStepCostHourly*$D63*VLOOKUP(BasisYear,ChemPPI[],14,FALSE)/VLOOKUP(2017,ChemPPI[],14,FALSE))),""))</f>
        <v/>
      </c>
      <c r="F63" s="342" t="str">
        <f t="shared" ref="F63:F84" si="2">IFERROR($E63*$D$9*24,$E63)</f>
        <v/>
      </c>
      <c r="G63" s="341" t="str">
        <f t="shared" ref="G63:G84" si="3">IFERROR($F63/$D$7,$F63)</f>
        <v/>
      </c>
      <c r="H63" s="248"/>
      <c r="I63" s="247" t="str">
        <f>IFERROR(VLOOKUP($C63,Steps[],5,FALSE),"")</f>
        <v>-</v>
      </c>
      <c r="J63" s="251"/>
    </row>
    <row r="64" spans="1:10" ht="16" hidden="1" customHeight="1" outlineLevel="1">
      <c r="B64" s="16"/>
      <c r="C64" s="69" t="s">
        <v>924</v>
      </c>
      <c r="D64" s="246">
        <v>2</v>
      </c>
      <c r="E64" s="342" t="str">
        <f>IF(ISBLANK(C64),"",IFERROR(IF(fnStepCostHourly=0,fnStepNotAvail,IF(ISBLANK(D64),"",fnStepCostHourly*$D64*VLOOKUP(BasisYear,ChemPPI[],14,FALSE)/VLOOKUP(2017,ChemPPI[],14,FALSE))),""))</f>
        <v/>
      </c>
      <c r="F64" s="342" t="str">
        <f t="shared" si="2"/>
        <v/>
      </c>
      <c r="G64" s="341" t="str">
        <f t="shared" si="3"/>
        <v/>
      </c>
      <c r="H64" s="248"/>
      <c r="I64" s="247" t="str">
        <f>IFERROR(VLOOKUP($C64,Steps[],5,FALSE),"")</f>
        <v>-</v>
      </c>
      <c r="J64" s="251"/>
    </row>
    <row r="65" spans="2:10" ht="16" hidden="1" customHeight="1" outlineLevel="1">
      <c r="B65" s="16"/>
      <c r="C65" s="349" t="s">
        <v>926</v>
      </c>
      <c r="D65" s="350">
        <f>4*IF($D$6&lt;5,0,IF($D$6&lt;70,1,1))</f>
        <v>4</v>
      </c>
      <c r="E65" s="342" t="str">
        <f>IF(ISBLANK(C65),"",IFERROR(IF(fnStepCostHourly=0,fnStepNotAvail,IF(ISBLANK(D65),"",fnStepCostHourly*$D65*VLOOKUP(BasisYear,ChemPPI[],14,FALSE)/VLOOKUP(2017,ChemPPI[],14,FALSE))),""))</f>
        <v/>
      </c>
      <c r="F65" s="342" t="str">
        <f t="shared" si="2"/>
        <v/>
      </c>
      <c r="G65" s="341" t="str">
        <f t="shared" si="3"/>
        <v/>
      </c>
      <c r="H65" s="248"/>
      <c r="I65" s="247" t="str">
        <f>IFERROR(VLOOKUP($C65,Steps[],5,FALSE),"")</f>
        <v>Substitute with plate and frame at small scale</v>
      </c>
      <c r="J65" s="251"/>
    </row>
    <row r="66" spans="2:10" ht="16" hidden="1" customHeight="1" outlineLevel="1">
      <c r="B66" s="16"/>
      <c r="C66" s="349" t="s">
        <v>928</v>
      </c>
      <c r="D66" s="350">
        <f>4*IF($D$6&lt;5,1,IF($D$6&lt;70,0,0))</f>
        <v>0</v>
      </c>
      <c r="E66" s="342" t="str">
        <f>IF(ISBLANK(C66),"",IFERROR(IF(fnStepCostHourly=0,fnStepNotAvail,IF(ISBLANK(D66),"",fnStepCostHourly*$D66*VLOOKUP(BasisYear,ChemPPI[],14,FALSE)/VLOOKUP(2017,ChemPPI[],14,FALSE))),""))</f>
        <v/>
      </c>
      <c r="F66" s="342" t="str">
        <f t="shared" si="2"/>
        <v/>
      </c>
      <c r="G66" s="341" t="str">
        <f t="shared" si="3"/>
        <v/>
      </c>
      <c r="H66" s="248"/>
      <c r="I66" s="247" t="str">
        <f>IFERROR(VLOOKUP($C66,Steps[],5,FALSE),"")</f>
        <v>Substitute with belt or rotary vacuum at M/L scale</v>
      </c>
      <c r="J66" s="251"/>
    </row>
    <row r="67" spans="2:10" ht="16" hidden="1" customHeight="1" outlineLevel="1">
      <c r="B67" s="16"/>
      <c r="C67" s="69" t="s">
        <v>931</v>
      </c>
      <c r="D67" s="246">
        <v>4</v>
      </c>
      <c r="E67" s="342" t="str">
        <f>IF(ISBLANK(C67),"",IFERROR(IF(fnStepCostHourly=0,fnStepNotAvail,IF(ISBLANK(D67),"",fnStepCostHourly*$D67*VLOOKUP(BasisYear,ChemPPI[],14,FALSE)/VLOOKUP(2017,ChemPPI[],14,FALSE))),""))</f>
        <v/>
      </c>
      <c r="F67" s="342" t="str">
        <f t="shared" si="2"/>
        <v/>
      </c>
      <c r="G67" s="341" t="str">
        <f t="shared" si="3"/>
        <v/>
      </c>
      <c r="H67" s="248"/>
      <c r="I67" s="247" t="str">
        <f>IFERROR(VLOOKUP($C67,Steps[],5,FALSE),"")</f>
        <v>-</v>
      </c>
      <c r="J67" s="251"/>
    </row>
    <row r="68" spans="2:10" ht="16" hidden="1" customHeight="1" outlineLevel="1">
      <c r="B68" s="16"/>
      <c r="C68" s="349" t="s">
        <v>946</v>
      </c>
      <c r="D68" s="350">
        <f>1*IF($D$6&lt;5,0,IF($D$6&lt;70,1,1))</f>
        <v>1</v>
      </c>
      <c r="E68" s="342" t="str">
        <f>IF(ISBLANK(C68),"",IFERROR(IF(fnStepCostHourly=0,fnStepNotAvail,IF(ISBLANK(D68),"",fnStepCostHourly*$D68*VLOOKUP(BasisYear,ChemPPI[],14,FALSE)/VLOOKUP(2017,ChemPPI[],14,FALSE))),""))</f>
        <v/>
      </c>
      <c r="F68" s="342" t="str">
        <f t="shared" si="2"/>
        <v/>
      </c>
      <c r="G68" s="341" t="str">
        <f t="shared" si="3"/>
        <v/>
      </c>
      <c r="H68" s="248"/>
      <c r="I68" s="247" t="str">
        <f>IFERROR(VLOOKUP($C68,Steps[],5,FALSE),"")</f>
        <v>A.k.a. calciner. Sub with batch kiln at small scale</v>
      </c>
      <c r="J68" s="251"/>
    </row>
    <row r="69" spans="2:10" ht="16" hidden="1" customHeight="1" outlineLevel="1">
      <c r="B69" s="16"/>
      <c r="C69" s="349" t="s">
        <v>948</v>
      </c>
      <c r="D69" s="350">
        <f>1*IF($D$6&lt;5,1,IF($D$6&lt;70,0,0))</f>
        <v>0</v>
      </c>
      <c r="E69" s="342" t="str">
        <f>IF(ISBLANK(C69),"",IFERROR(IF(fnStepCostHourly=0,fnStepNotAvail,IF(ISBLANK(D69),"",fnStepCostHourly*$D69*VLOOKUP(BasisYear,ChemPPI[],14,FALSE)/VLOOKUP(2017,ChemPPI[],14,FALSE))),""))</f>
        <v/>
      </c>
      <c r="F69" s="342" t="str">
        <f t="shared" si="2"/>
        <v/>
      </c>
      <c r="G69" s="341" t="str">
        <f t="shared" si="3"/>
        <v/>
      </c>
      <c r="H69" s="248"/>
      <c r="I69" s="247" t="str">
        <f>IFERROR(VLOOKUP($C69,Steps[],5,FALSE),"")</f>
        <v>A.k.a. calciner. Sub with continuous kiln at M/L scale</v>
      </c>
      <c r="J69" s="251"/>
    </row>
    <row r="70" spans="2:10" ht="16" hidden="1" customHeight="1" outlineLevel="1">
      <c r="B70" s="16"/>
      <c r="C70" s="69" t="s">
        <v>932</v>
      </c>
      <c r="D70" s="246">
        <v>1</v>
      </c>
      <c r="E70" s="342" t="str">
        <f>IF(ISBLANK(C70),"",IFERROR(IF(fnStepCostHourly=0,fnStepNotAvail,IF(ISBLANK(D70),"",fnStepCostHourly*$D70*VLOOKUP(BasisYear,ChemPPI[],14,FALSE)/VLOOKUP(2017,ChemPPI[],14,FALSE))),""))</f>
        <v/>
      </c>
      <c r="F70" s="342" t="str">
        <f t="shared" si="2"/>
        <v/>
      </c>
      <c r="G70" s="341" t="str">
        <f t="shared" si="3"/>
        <v/>
      </c>
      <c r="H70" s="248"/>
      <c r="I70" s="247" t="str">
        <f>IFERROR(VLOOKUP($C70,Steps[],5,FALSE),"")</f>
        <v>-</v>
      </c>
      <c r="J70" s="251"/>
    </row>
    <row r="71" spans="2:10" ht="16" hidden="1" customHeight="1" outlineLevel="1">
      <c r="B71" s="16"/>
      <c r="C71" s="349" t="s">
        <v>926</v>
      </c>
      <c r="D71" s="350">
        <f>1*IF($D$6&lt;5,0,IF($D$6&lt;70,1,1))</f>
        <v>1</v>
      </c>
      <c r="E71" s="342" t="str">
        <f>IF(ISBLANK(C71),"",IFERROR(IF(fnStepCostHourly=0,fnStepNotAvail,IF(ISBLANK(D71),"",fnStepCostHourly*$D71*VLOOKUP(BasisYear,ChemPPI[],14,FALSE)/VLOOKUP(2017,ChemPPI[],14,FALSE))),""))</f>
        <v/>
      </c>
      <c r="F71" s="342" t="str">
        <f t="shared" si="2"/>
        <v/>
      </c>
      <c r="G71" s="341" t="str">
        <f t="shared" si="3"/>
        <v/>
      </c>
      <c r="H71" s="248"/>
      <c r="I71" s="247" t="str">
        <f>IFERROR(VLOOKUP($C71,Steps[],5,FALSE),"")</f>
        <v>Substitute with plate and frame at small scale</v>
      </c>
      <c r="J71" s="251"/>
    </row>
    <row r="72" spans="2:10" ht="16" hidden="1" customHeight="1" outlineLevel="1">
      <c r="B72" s="16"/>
      <c r="C72" s="349" t="s">
        <v>928</v>
      </c>
      <c r="D72" s="350">
        <f>1*IF($D$6&lt;5,1,IF($D$6&lt;70,0,0))</f>
        <v>0</v>
      </c>
      <c r="E72" s="342" t="str">
        <f>IF(ISBLANK(C72),"",IFERROR(IF(fnStepCostHourly=0,fnStepNotAvail,IF(ISBLANK(D72),"",fnStepCostHourly*$D72*VLOOKUP(BasisYear,ChemPPI[],14,FALSE)/VLOOKUP(2017,ChemPPI[],14,FALSE))),""))</f>
        <v/>
      </c>
      <c r="F72" s="342" t="str">
        <f t="shared" si="2"/>
        <v/>
      </c>
      <c r="G72" s="341" t="str">
        <f t="shared" si="3"/>
        <v/>
      </c>
      <c r="H72" s="248"/>
      <c r="I72" s="247" t="str">
        <f>IFERROR(VLOOKUP($C72,Steps[],5,FALSE),"")</f>
        <v>Substitute with belt or rotary vacuum at M/L scale</v>
      </c>
      <c r="J72" s="251"/>
    </row>
    <row r="73" spans="2:10" ht="16" hidden="1" customHeight="1" outlineLevel="1">
      <c r="B73" s="16"/>
      <c r="C73" s="69" t="s">
        <v>932</v>
      </c>
      <c r="D73" s="246">
        <v>1</v>
      </c>
      <c r="E73" s="342" t="str">
        <f>IF(ISBLANK(C73),"",IFERROR(IF(fnStepCostHourly=0,fnStepNotAvail,IF(ISBLANK(D73),"",fnStepCostHourly*$D73*VLOOKUP(BasisYear,ChemPPI[],14,FALSE)/VLOOKUP(2017,ChemPPI[],14,FALSE))),""))</f>
        <v/>
      </c>
      <c r="F73" s="342" t="str">
        <f t="shared" si="2"/>
        <v/>
      </c>
      <c r="G73" s="341" t="str">
        <f t="shared" si="3"/>
        <v/>
      </c>
      <c r="H73" s="248"/>
      <c r="I73" s="247" t="str">
        <f>IFERROR(VLOOKUP($C73,Steps[],5,FALSE),"")</f>
        <v>-</v>
      </c>
      <c r="J73" s="251"/>
    </row>
    <row r="74" spans="2:10" ht="16" hidden="1" customHeight="1" outlineLevel="1">
      <c r="B74" s="16"/>
      <c r="C74" s="69" t="s">
        <v>943</v>
      </c>
      <c r="D74" s="246">
        <v>2</v>
      </c>
      <c r="E74" s="342" t="str">
        <f>IF(ISBLANK(C74),"",IFERROR(IF(fnStepCostHourly=0,fnStepNotAvail,IF(ISBLANK(D74),"",fnStepCostHourly*$D74*VLOOKUP(BasisYear,ChemPPI[],14,FALSE)/VLOOKUP(2017,ChemPPI[],14,FALSE))),""))</f>
        <v/>
      </c>
      <c r="F74" s="342" t="str">
        <f t="shared" si="2"/>
        <v/>
      </c>
      <c r="G74" s="341" t="str">
        <f t="shared" si="3"/>
        <v/>
      </c>
      <c r="H74" s="248"/>
      <c r="I74" s="247" t="str">
        <f>IFERROR(VLOOKUP($C74,Steps[],5,FALSE),"")</f>
        <v>Muller</v>
      </c>
      <c r="J74" s="251"/>
    </row>
    <row r="75" spans="2:10" ht="16" hidden="1" customHeight="1" outlineLevel="1">
      <c r="B75" s="16"/>
      <c r="C75" s="349" t="s">
        <v>933</v>
      </c>
      <c r="D75" s="350">
        <f>1*IF($D$6&lt;5,0,IF($D$6&lt;70,1,1))</f>
        <v>1</v>
      </c>
      <c r="E75" s="342" t="str">
        <f>IF(ISBLANK(C75),"",IFERROR(IF(fnStepCostHourly=0,fnStepNotAvail,IF(ISBLANK(D75),"",fnStepCostHourly*$D75*VLOOKUP(BasisYear,ChemPPI[],14,FALSE)/VLOOKUP(2017,ChemPPI[],14,FALSE))),""))</f>
        <v/>
      </c>
      <c r="F75" s="342" t="str">
        <f t="shared" si="2"/>
        <v/>
      </c>
      <c r="G75" s="341" t="str">
        <f t="shared" si="3"/>
        <v/>
      </c>
      <c r="H75" s="248"/>
      <c r="I75" s="247" t="str">
        <f>IFERROR(VLOOKUP($C75,Steps[],5,FALSE),"")</f>
        <v>Substitute with rotary dryer at small scale</v>
      </c>
      <c r="J75" s="251"/>
    </row>
    <row r="76" spans="2:10" ht="16" hidden="1" customHeight="1" outlineLevel="1">
      <c r="B76" s="16"/>
      <c r="C76" s="349" t="s">
        <v>1076</v>
      </c>
      <c r="D76" s="350">
        <f>1*IF($D$6&lt;5,1,IF($D$6&lt;70,0,0))</f>
        <v>0</v>
      </c>
      <c r="E76" s="342" t="str">
        <f>IF(ISBLANK(C76),"",IFERROR(IF(fnStepCostHourly=0,fnStepNotAvail,IF(ISBLANK(D76),"",fnStepCostHourly*$D76*VLOOKUP(BasisYear,ChemPPI[],14,FALSE)/VLOOKUP(2017,ChemPPI[],14,FALSE))),""))</f>
        <v/>
      </c>
      <c r="F76" s="342" t="str">
        <f t="shared" si="2"/>
        <v/>
      </c>
      <c r="G76" s="341" t="str">
        <f t="shared" si="3"/>
        <v/>
      </c>
      <c r="H76" s="248"/>
      <c r="I76" s="247" t="str">
        <f>IFERROR(VLOOKUP($C76,Steps[],5,FALSE),"")</f>
        <v>-</v>
      </c>
      <c r="J76" s="251"/>
    </row>
    <row r="77" spans="2:10" ht="16" hidden="1" customHeight="1" outlineLevel="1">
      <c r="B77" s="16"/>
      <c r="C77" s="69" t="s">
        <v>931</v>
      </c>
      <c r="D77" s="246">
        <v>4</v>
      </c>
      <c r="E77" s="342" t="str">
        <f>IF(ISBLANK(C77),"",IFERROR(IF(fnStepCostHourly=0,fnStepNotAvail,IF(ISBLANK(D77),"",fnStepCostHourly*$D77*VLOOKUP(BasisYear,ChemPPI[],14,FALSE)/VLOOKUP(2017,ChemPPI[],14,FALSE))),""))</f>
        <v/>
      </c>
      <c r="F77" s="342" t="str">
        <f t="shared" si="2"/>
        <v/>
      </c>
      <c r="G77" s="341" t="str">
        <f t="shared" si="3"/>
        <v/>
      </c>
      <c r="H77" s="248"/>
      <c r="I77" s="247" t="str">
        <f>IFERROR(VLOOKUP($C77,Steps[],5,FALSE),"")</f>
        <v>-</v>
      </c>
      <c r="J77" s="251"/>
    </row>
    <row r="78" spans="2:10" ht="16" hidden="1" customHeight="1" outlineLevel="1">
      <c r="B78" s="16"/>
      <c r="C78" s="349" t="s">
        <v>926</v>
      </c>
      <c r="D78" s="350">
        <f>2*IF($D$6&lt;5,0,IF($D$6&lt;70,1,1))</f>
        <v>2</v>
      </c>
      <c r="E78" s="342" t="str">
        <f>IF(ISBLANK(C78),"",IFERROR(IF(fnStepCostHourly=0,fnStepNotAvail,IF(ISBLANK(D78),"",fnStepCostHourly*$D78*VLOOKUP(BasisYear,ChemPPI[],14,FALSE)/VLOOKUP(2017,ChemPPI[],14,FALSE))),""))</f>
        <v/>
      </c>
      <c r="F78" s="342" t="str">
        <f t="shared" si="2"/>
        <v/>
      </c>
      <c r="G78" s="341" t="str">
        <f t="shared" si="3"/>
        <v/>
      </c>
      <c r="H78" s="248"/>
      <c r="I78" s="247" t="str">
        <f>IFERROR(VLOOKUP($C78,Steps[],5,FALSE),"")</f>
        <v>Substitute with plate and frame at small scale</v>
      </c>
      <c r="J78" s="251"/>
    </row>
    <row r="79" spans="2:10" ht="16" hidden="1" customHeight="1" outlineLevel="1">
      <c r="B79" s="16"/>
      <c r="C79" s="349" t="s">
        <v>928</v>
      </c>
      <c r="D79" s="350">
        <f>2*IF($D$6&lt;5,1,IF($D$6&lt;70,0,0))</f>
        <v>0</v>
      </c>
      <c r="E79" s="342" t="str">
        <f>IF(ISBLANK(C79),"",IFERROR(IF(fnStepCostHourly=0,fnStepNotAvail,IF(ISBLANK(D79),"",fnStepCostHourly*$D79*VLOOKUP(BasisYear,ChemPPI[],14,FALSE)/VLOOKUP(2017,ChemPPI[],14,FALSE))),""))</f>
        <v/>
      </c>
      <c r="F79" s="342" t="str">
        <f t="shared" si="2"/>
        <v/>
      </c>
      <c r="G79" s="341" t="str">
        <f t="shared" si="3"/>
        <v/>
      </c>
      <c r="H79" s="248"/>
      <c r="I79" s="247" t="str">
        <f>IFERROR(VLOOKUP($C79,Steps[],5,FALSE),"")</f>
        <v>Substitute with belt or rotary vacuum at M/L scale</v>
      </c>
      <c r="J79" s="251"/>
    </row>
    <row r="80" spans="2:10" ht="16" hidden="1" customHeight="1" outlineLevel="1">
      <c r="B80" s="16"/>
      <c r="C80" s="69" t="s">
        <v>1075</v>
      </c>
      <c r="D80" s="246">
        <v>1</v>
      </c>
      <c r="E80" s="342" t="str">
        <f>IF(ISBLANK(C80),"",IFERROR(IF(fnStepCostHourly=0,fnStepNotAvail,IF(ISBLANK(D80),"",fnStepCostHourly*$D80*VLOOKUP(BasisYear,ChemPPI[],14,FALSE)/VLOOKUP(2017,ChemPPI[],14,FALSE))),""))</f>
        <v/>
      </c>
      <c r="F80" s="342" t="str">
        <f t="shared" si="2"/>
        <v/>
      </c>
      <c r="G80" s="341" t="str">
        <f t="shared" si="3"/>
        <v/>
      </c>
      <c r="H80" s="248"/>
      <c r="I80" s="247" t="str">
        <f>IFERROR(VLOOKUP($C80,Steps[],5,FALSE),"")</f>
        <v>For higher temp use kiln</v>
      </c>
      <c r="J80" s="251"/>
    </row>
    <row r="81" spans="1:10" ht="16" hidden="1" customHeight="1" outlineLevel="1">
      <c r="B81" s="16"/>
      <c r="C81" s="69"/>
      <c r="D81" s="246"/>
      <c r="E81" s="342" t="str">
        <f>IF(ISBLANK(C81),"",IFERROR(IF(fnStepCostHourly=0,fnStepNotAvail,IF(ISBLANK(D81),"",fnStepCostHourly*$D81*VLOOKUP(BasisYear,ChemPPI[],14,FALSE)/VLOOKUP(2017,ChemPPI[],14,FALSE))),""))</f>
        <v/>
      </c>
      <c r="F81" s="342" t="str">
        <f t="shared" si="2"/>
        <v/>
      </c>
      <c r="G81" s="341" t="str">
        <f t="shared" si="3"/>
        <v/>
      </c>
      <c r="H81" s="248"/>
      <c r="I81" s="247" t="str">
        <f>IFERROR(VLOOKUP($C81,Steps[],5,FALSE),"")</f>
        <v/>
      </c>
      <c r="J81" s="251"/>
    </row>
    <row r="82" spans="1:10" ht="16" hidden="1" customHeight="1" outlineLevel="1">
      <c r="B82" s="16"/>
      <c r="C82" s="69"/>
      <c r="D82" s="246"/>
      <c r="E82" s="342" t="str">
        <f>IF(ISBLANK(C82),"",IFERROR(IF(fnStepCostHourly=0,fnStepNotAvail,IF(ISBLANK(D82),"",fnStepCostHourly*$D82*VLOOKUP(BasisYear,ChemPPI[],14,FALSE)/VLOOKUP(2017,ChemPPI[],14,FALSE))),""))</f>
        <v/>
      </c>
      <c r="F82" s="342" t="str">
        <f t="shared" si="2"/>
        <v/>
      </c>
      <c r="G82" s="341" t="str">
        <f t="shared" si="3"/>
        <v/>
      </c>
      <c r="H82" s="248"/>
      <c r="I82" s="247" t="str">
        <f>IFERROR(VLOOKUP($C82,Steps[],5,FALSE),"")</f>
        <v/>
      </c>
      <c r="J82" s="251"/>
    </row>
    <row r="83" spans="1:10" ht="16" hidden="1" customHeight="1" outlineLevel="1">
      <c r="B83" s="16"/>
      <c r="C83" s="69"/>
      <c r="D83" s="246"/>
      <c r="E83" s="342" t="str">
        <f>IF(ISBLANK(C83),"",IFERROR(IF(fnStepCostHourly=0,fnStepNotAvail,IF(ISBLANK(D83),"",fnStepCostHourly*$D83*VLOOKUP(BasisYear,ChemPPI[],14,FALSE)/VLOOKUP(2017,ChemPPI[],14,FALSE))),""))</f>
        <v/>
      </c>
      <c r="F83" s="342" t="str">
        <f t="shared" si="2"/>
        <v/>
      </c>
      <c r="G83" s="341" t="str">
        <f t="shared" si="3"/>
        <v/>
      </c>
      <c r="H83" s="248"/>
      <c r="I83" s="247" t="str">
        <f>IFERROR(VLOOKUP($C83,Steps[],5,FALSE),"")</f>
        <v/>
      </c>
      <c r="J83" s="251"/>
    </row>
    <row r="84" spans="1:10" ht="16" hidden="1" customHeight="1" outlineLevel="1">
      <c r="B84" s="16"/>
      <c r="C84" s="69"/>
      <c r="D84" s="246"/>
      <c r="E84" s="342" t="str">
        <f>IF(ISBLANK(C84),"",IFERROR(IF(fnStepCostHourly=0,fnStepNotAvail,IF(ISBLANK(D84),"",fnStepCostHourly*$D84*VLOOKUP(BasisYear,ChemPPI[],14,FALSE)/VLOOKUP(2017,ChemPPI[],14,FALSE))),""))</f>
        <v/>
      </c>
      <c r="F84" s="342" t="str">
        <f t="shared" si="2"/>
        <v/>
      </c>
      <c r="G84" s="341" t="str">
        <f t="shared" si="3"/>
        <v/>
      </c>
      <c r="H84" s="248"/>
      <c r="I84" s="247" t="str">
        <f>IFERROR(VLOOKUP($C84,Steps[],5,FALSE),"")</f>
        <v/>
      </c>
      <c r="J84" s="251"/>
    </row>
    <row r="85" spans="1:10" ht="17" hidden="1" outlineLevel="1" thickBot="1">
      <c r="B85" s="252"/>
      <c r="C85" s="253"/>
      <c r="D85" s="253"/>
      <c r="E85" s="253"/>
      <c r="F85" s="253"/>
      <c r="G85" s="253"/>
      <c r="H85" s="253"/>
      <c r="I85" s="253"/>
      <c r="J85" s="254"/>
    </row>
    <row r="86" spans="1:10" ht="17" collapsed="1" thickBot="1">
      <c r="A86" s="314" t="str">
        <f>"&lt;– show/hide "&amp;B52</f>
        <v>&lt;– show/hide Step Process Template: FCC Catalyst (USY w/ RE)</v>
      </c>
    </row>
    <row r="87" spans="1:10" ht="21" thickBot="1">
      <c r="B87" s="355" t="str">
        <f>"Step Process Template: "&amp;C90</f>
        <v>Step Process Template: Magnesia/Alumina</v>
      </c>
      <c r="C87" s="356"/>
      <c r="D87" s="356"/>
      <c r="E87" s="356"/>
      <c r="F87" s="356"/>
      <c r="G87" s="356"/>
      <c r="H87" s="357"/>
    </row>
    <row r="88" spans="1:10" hidden="1" outlineLevel="1">
      <c r="B88" s="13"/>
      <c r="C88" s="14"/>
      <c r="D88" s="14"/>
      <c r="E88" s="14"/>
      <c r="F88" s="14"/>
      <c r="G88" s="14"/>
      <c r="H88" s="15"/>
      <c r="J88" s="201"/>
    </row>
    <row r="89" spans="1:10" hidden="1" outlineLevel="1">
      <c r="B89" s="16"/>
      <c r="C89" s="17" t="s">
        <v>1055</v>
      </c>
      <c r="D89" s="256" t="s">
        <v>961</v>
      </c>
      <c r="E89" s="64" t="s">
        <v>953</v>
      </c>
      <c r="F89" s="64" t="s">
        <v>954</v>
      </c>
      <c r="G89" s="64" t="str">
        <f>"Cost ($/"&amp;OutMassUnit&amp;" catalyst)"</f>
        <v>Cost ($/lb catalyst)</v>
      </c>
      <c r="H89" s="250"/>
      <c r="J89" s="201"/>
    </row>
    <row r="90" spans="1:10" ht="16" hidden="1" customHeight="1" outlineLevel="1">
      <c r="B90" s="16"/>
      <c r="C90" s="18" t="s">
        <v>1098</v>
      </c>
      <c r="D90" s="256"/>
      <c r="E90" s="344">
        <f>SUM(E98:E117)</f>
        <v>0</v>
      </c>
      <c r="F90" s="344">
        <f>SUM(F98:F117)</f>
        <v>0</v>
      </c>
      <c r="G90" s="343">
        <f>SUM(G98:G117)</f>
        <v>0</v>
      </c>
      <c r="H90" s="336"/>
      <c r="J90" s="201"/>
    </row>
    <row r="91" spans="1:10" ht="16" hidden="1" customHeight="1" outlineLevel="1">
      <c r="B91" s="16"/>
      <c r="C91" s="353" t="str">
        <f>"Name: "&amp;C90</f>
        <v>Name: Magnesia/Alumina</v>
      </c>
      <c r="D91" s="256"/>
      <c r="E91" s="347"/>
      <c r="F91" s="347"/>
      <c r="G91" s="348"/>
      <c r="H91" s="336"/>
      <c r="J91" s="201"/>
    </row>
    <row r="92" spans="1:10" ht="16" hidden="1" customHeight="1" outlineLevel="1">
      <c r="B92" s="16"/>
      <c r="C92" s="17" t="s">
        <v>1070</v>
      </c>
      <c r="D92" s="256"/>
      <c r="E92" s="347"/>
      <c r="F92" s="347"/>
      <c r="G92" s="348"/>
      <c r="H92" s="336"/>
      <c r="J92" s="201"/>
    </row>
    <row r="93" spans="1:10" ht="16" hidden="1" customHeight="1" outlineLevel="1">
      <c r="B93" s="16"/>
      <c r="C93" s="18" t="s">
        <v>1099</v>
      </c>
      <c r="D93" s="256"/>
      <c r="E93" s="347"/>
      <c r="F93" s="347"/>
      <c r="G93" s="348"/>
      <c r="H93" s="336"/>
      <c r="J93" s="201"/>
    </row>
    <row r="94" spans="1:10" hidden="1" outlineLevel="1">
      <c r="B94" s="16"/>
      <c r="C94" s="18" t="s">
        <v>1073</v>
      </c>
      <c r="D94" s="256"/>
      <c r="E94" s="347"/>
      <c r="F94" s="347"/>
      <c r="G94" s="348"/>
      <c r="H94" s="336"/>
      <c r="J94" s="201"/>
    </row>
    <row r="95" spans="1:10" ht="16" hidden="1" customHeight="1" outlineLevel="1" thickBot="1">
      <c r="B95" s="21"/>
      <c r="C95" s="22"/>
      <c r="D95" s="22"/>
      <c r="E95" s="22"/>
      <c r="F95" s="22"/>
      <c r="G95" s="22"/>
      <c r="H95" s="23"/>
      <c r="J95" s="201"/>
    </row>
    <row r="96" spans="1:10" ht="16" hidden="1" customHeight="1" outlineLevel="1">
      <c r="B96" s="16"/>
      <c r="C96" s="18"/>
      <c r="D96" s="18"/>
      <c r="E96" s="18"/>
      <c r="F96" s="18"/>
      <c r="G96" s="18"/>
      <c r="H96" s="18"/>
      <c r="I96" s="14"/>
      <c r="J96" s="15"/>
    </row>
    <row r="97" spans="2:10" ht="17" hidden="1" customHeight="1" outlineLevel="1">
      <c r="B97" s="16"/>
      <c r="C97" s="339" t="s">
        <v>937</v>
      </c>
      <c r="D97" s="339" t="s">
        <v>309</v>
      </c>
      <c r="E97" s="339" t="s">
        <v>953</v>
      </c>
      <c r="F97" s="339" t="s">
        <v>954</v>
      </c>
      <c r="G97" s="339" t="str">
        <f>"Cost ($/"&amp;OutMassUnit&amp;" catalyst)"</f>
        <v>Cost ($/lb catalyst)</v>
      </c>
      <c r="H97" s="339"/>
      <c r="I97" s="339" t="s">
        <v>207</v>
      </c>
      <c r="J97" s="250"/>
    </row>
    <row r="98" spans="2:10" ht="16" hidden="1" customHeight="1" outlineLevel="1">
      <c r="B98" s="16"/>
      <c r="C98" s="69" t="s">
        <v>931</v>
      </c>
      <c r="D98" s="246">
        <v>1</v>
      </c>
      <c r="E98" s="342" t="str">
        <f>IF(ISBLANK(C98),"",IFERROR(IF(fnStepCostHourly=0,fnStepNotAvail,IF(ISBLANK(D98),"",fnStepCostHourly*$D98*VLOOKUP(BasisYear,ChemPPI[],14,FALSE)/VLOOKUP(2017,ChemPPI[],14,FALSE))),""))</f>
        <v/>
      </c>
      <c r="F98" s="342" t="str">
        <f t="shared" ref="F98:F117" si="4">IFERROR($E98*$D$9*24,$E98)</f>
        <v/>
      </c>
      <c r="G98" s="341" t="str">
        <f t="shared" ref="G98:G117" si="5">IFERROR($F98/$D$7,$F98)</f>
        <v/>
      </c>
      <c r="H98" s="248"/>
      <c r="I98" s="247" t="str">
        <f>IFERROR(VLOOKUP($C98,Steps[],5,FALSE),"")</f>
        <v>-</v>
      </c>
      <c r="J98" s="251"/>
    </row>
    <row r="99" spans="2:10" ht="16" hidden="1" customHeight="1" outlineLevel="1">
      <c r="B99" s="16"/>
      <c r="C99" s="69" t="s">
        <v>924</v>
      </c>
      <c r="D99" s="246">
        <v>2</v>
      </c>
      <c r="E99" s="342" t="str">
        <f>IF(ISBLANK(C99),"",IFERROR(IF(fnStepCostHourly=0,fnStepNotAvail,IF(ISBLANK(D99),"",fnStepCostHourly*$D99*VLOOKUP(BasisYear,ChemPPI[],14,FALSE)/VLOOKUP(2017,ChemPPI[],14,FALSE))),""))</f>
        <v/>
      </c>
      <c r="F99" s="342" t="str">
        <f t="shared" si="4"/>
        <v/>
      </c>
      <c r="G99" s="341" t="str">
        <f t="shared" si="5"/>
        <v/>
      </c>
      <c r="H99" s="248"/>
      <c r="I99" s="247" t="str">
        <f>IFERROR(VLOOKUP($C99,Steps[],5,FALSE),"")</f>
        <v>-</v>
      </c>
      <c r="J99" s="251"/>
    </row>
    <row r="100" spans="2:10" ht="16" hidden="1" customHeight="1" outlineLevel="1">
      <c r="B100" s="16"/>
      <c r="C100" s="349" t="s">
        <v>926</v>
      </c>
      <c r="D100" s="350">
        <f>1*IF($D$6&lt;5,0,IF($D$6&lt;70,1,1))</f>
        <v>1</v>
      </c>
      <c r="E100" s="342" t="str">
        <f>IF(ISBLANK(C100),"",IFERROR(IF(fnStepCostHourly=0,fnStepNotAvail,IF(ISBLANK(D100),"",fnStepCostHourly*$D100*VLOOKUP(BasisYear,ChemPPI[],14,FALSE)/VLOOKUP(2017,ChemPPI[],14,FALSE))),""))</f>
        <v/>
      </c>
      <c r="F100" s="342" t="str">
        <f t="shared" si="4"/>
        <v/>
      </c>
      <c r="G100" s="341" t="str">
        <f t="shared" si="5"/>
        <v/>
      </c>
      <c r="H100" s="248"/>
      <c r="I100" s="247" t="str">
        <f>IFERROR(VLOOKUP($C100,Steps[],5,FALSE),"")</f>
        <v>Substitute with plate and frame at small scale</v>
      </c>
      <c r="J100" s="251"/>
    </row>
    <row r="101" spans="2:10" ht="16" hidden="1" customHeight="1" outlineLevel="1">
      <c r="B101" s="16"/>
      <c r="C101" s="349" t="s">
        <v>928</v>
      </c>
      <c r="D101" s="350">
        <f>1*IF($D$6&lt;5,1,IF($D$6&lt;70,0,0))</f>
        <v>0</v>
      </c>
      <c r="E101" s="342" t="str">
        <f>IF(ISBLANK(C101),"",IFERROR(IF(fnStepCostHourly=0,fnStepNotAvail,IF(ISBLANK(D101),"",fnStepCostHourly*$D101*VLOOKUP(BasisYear,ChemPPI[],14,FALSE)/VLOOKUP(2017,ChemPPI[],14,FALSE))),""))</f>
        <v/>
      </c>
      <c r="F101" s="342" t="str">
        <f t="shared" si="4"/>
        <v/>
      </c>
      <c r="G101" s="341" t="str">
        <f t="shared" si="5"/>
        <v/>
      </c>
      <c r="H101" s="248"/>
      <c r="I101" s="247" t="str">
        <f>IFERROR(VLOOKUP($C101,Steps[],5,FALSE),"")</f>
        <v>Substitute with belt or rotary vacuum at M/L scale</v>
      </c>
      <c r="J101" s="251"/>
    </row>
    <row r="102" spans="2:10" ht="16" hidden="1" customHeight="1" outlineLevel="1">
      <c r="B102" s="16"/>
      <c r="C102" s="69" t="s">
        <v>1075</v>
      </c>
      <c r="D102" s="246">
        <v>1</v>
      </c>
      <c r="E102" s="342" t="str">
        <f>IF(ISBLANK(C102),"",IFERROR(IF(fnStepCostHourly=0,fnStepNotAvail,IF(ISBLANK(D102),"",fnStepCostHourly*$D102*VLOOKUP(BasisYear,ChemPPI[],14,FALSE)/VLOOKUP(2017,ChemPPI[],14,FALSE))),""))</f>
        <v/>
      </c>
      <c r="F102" s="342" t="str">
        <f t="shared" si="4"/>
        <v/>
      </c>
      <c r="G102" s="341" t="str">
        <f t="shared" si="5"/>
        <v/>
      </c>
      <c r="H102" s="248"/>
      <c r="I102" s="247" t="str">
        <f>IFERROR(VLOOKUP($C102,Steps[],5,FALSE),"")</f>
        <v>For higher temp use kiln</v>
      </c>
      <c r="J102" s="251"/>
    </row>
    <row r="103" spans="2:10" ht="16" hidden="1" customHeight="1" outlineLevel="1">
      <c r="B103" s="16"/>
      <c r="C103" s="349" t="s">
        <v>946</v>
      </c>
      <c r="D103" s="350">
        <f>1*IF($D$6&lt;5,0,IF($D$6&lt;70,1,1))</f>
        <v>1</v>
      </c>
      <c r="E103" s="342" t="str">
        <f>IF(ISBLANK(C103),"",IFERROR(IF(fnStepCostHourly=0,fnStepNotAvail,IF(ISBLANK(D103),"",fnStepCostHourly*$D103*VLOOKUP(BasisYear,ChemPPI[],14,FALSE)/VLOOKUP(2017,ChemPPI[],14,FALSE))),""))</f>
        <v/>
      </c>
      <c r="F103" s="342" t="str">
        <f t="shared" si="4"/>
        <v/>
      </c>
      <c r="G103" s="341" t="str">
        <f t="shared" si="5"/>
        <v/>
      </c>
      <c r="H103" s="248"/>
      <c r="I103" s="247" t="str">
        <f>IFERROR(VLOOKUP($C103,Steps[],5,FALSE),"")</f>
        <v>A.k.a. calciner. Sub with batch kiln at small scale</v>
      </c>
      <c r="J103" s="251"/>
    </row>
    <row r="104" spans="2:10" ht="16" hidden="1" customHeight="1" outlineLevel="1">
      <c r="B104" s="16"/>
      <c r="C104" s="349" t="s">
        <v>948</v>
      </c>
      <c r="D104" s="350">
        <f>1*IF($D$6&lt;5,1,IF($D$6&lt;70,0,0))</f>
        <v>0</v>
      </c>
      <c r="E104" s="342" t="str">
        <f>IF(ISBLANK(C104),"",IFERROR(IF(fnStepCostHourly=0,fnStepNotAvail,IF(ISBLANK(D104),"",fnStepCostHourly*$D104*VLOOKUP(BasisYear,ChemPPI[],14,FALSE)/VLOOKUP(2017,ChemPPI[],14,FALSE))),""))</f>
        <v/>
      </c>
      <c r="F104" s="342" t="str">
        <f t="shared" si="4"/>
        <v/>
      </c>
      <c r="G104" s="341" t="str">
        <f t="shared" si="5"/>
        <v/>
      </c>
      <c r="H104" s="248"/>
      <c r="I104" s="247" t="str">
        <f>IFERROR(VLOOKUP($C104,Steps[],5,FALSE),"")</f>
        <v>A.k.a. calciner. Sub with continuous kiln at M/L scale</v>
      </c>
      <c r="J104" s="251"/>
    </row>
    <row r="105" spans="2:10" ht="16" hidden="1" customHeight="1" outlineLevel="1">
      <c r="B105" s="16"/>
      <c r="C105" s="69" t="s">
        <v>939</v>
      </c>
      <c r="D105" s="246">
        <v>1</v>
      </c>
      <c r="E105" s="342" t="str">
        <f>IF(ISBLANK(C105),"",IFERROR(IF(fnStepCostHourly=0,fnStepNotAvail,IF(ISBLANK(D105),"",fnStepCostHourly*$D105*VLOOKUP(BasisYear,ChemPPI[],14,FALSE)/VLOOKUP(2017,ChemPPI[],14,FALSE))),""))</f>
        <v/>
      </c>
      <c r="F105" s="342" t="str">
        <f t="shared" si="4"/>
        <v/>
      </c>
      <c r="G105" s="341" t="str">
        <f t="shared" si="5"/>
        <v/>
      </c>
      <c r="H105" s="248"/>
      <c r="I105" s="247" t="str">
        <f>IFERROR(VLOOKUP($C105,Steps[],5,FALSE),"")</f>
        <v>-</v>
      </c>
      <c r="J105" s="251"/>
    </row>
    <row r="106" spans="2:10" ht="16" hidden="1" customHeight="1" outlineLevel="1">
      <c r="B106" s="16"/>
      <c r="C106" s="69" t="s">
        <v>924</v>
      </c>
      <c r="D106" s="246">
        <v>1</v>
      </c>
      <c r="E106" s="342" t="str">
        <f>IF(ISBLANK(C106),"",IFERROR(IF(fnStepCostHourly=0,fnStepNotAvail,IF(ISBLANK(D106),"",fnStepCostHourly*$D106*VLOOKUP(BasisYear,ChemPPI[],14,FALSE)/VLOOKUP(2017,ChemPPI[],14,FALSE))),""))</f>
        <v/>
      </c>
      <c r="F106" s="342" t="str">
        <f t="shared" si="4"/>
        <v/>
      </c>
      <c r="G106" s="341" t="str">
        <f t="shared" si="5"/>
        <v/>
      </c>
      <c r="H106" s="248"/>
      <c r="I106" s="247" t="str">
        <f>IFERROR(VLOOKUP($C106,Steps[],5,FALSE),"")</f>
        <v>-</v>
      </c>
      <c r="J106" s="251"/>
    </row>
    <row r="107" spans="2:10" ht="16" hidden="1" customHeight="1" outlineLevel="1">
      <c r="B107" s="16"/>
      <c r="C107" s="349" t="s">
        <v>926</v>
      </c>
      <c r="D107" s="350">
        <f>1*IF($D$6&lt;5,0,IF($D$6&lt;70,1,1))</f>
        <v>1</v>
      </c>
      <c r="E107" s="342" t="str">
        <f>IF(ISBLANK(C107),"",IFERROR(IF(fnStepCostHourly=0,fnStepNotAvail,IF(ISBLANK(D107),"",fnStepCostHourly*$D107*VLOOKUP(BasisYear,ChemPPI[],14,FALSE)/VLOOKUP(2017,ChemPPI[],14,FALSE))),""))</f>
        <v/>
      </c>
      <c r="F107" s="342" t="str">
        <f t="shared" si="4"/>
        <v/>
      </c>
      <c r="G107" s="341" t="str">
        <f t="shared" si="5"/>
        <v/>
      </c>
      <c r="H107" s="248"/>
      <c r="I107" s="247" t="str">
        <f>IFERROR(VLOOKUP($C107,Steps[],5,FALSE),"")</f>
        <v>Substitute with plate and frame at small scale</v>
      </c>
      <c r="J107" s="251"/>
    </row>
    <row r="108" spans="2:10" ht="16" hidden="1" customHeight="1" outlineLevel="1">
      <c r="B108" s="16"/>
      <c r="C108" s="349" t="s">
        <v>928</v>
      </c>
      <c r="D108" s="350">
        <f>1*IF($D$6&lt;5,1,IF($D$6&lt;70,0,0))</f>
        <v>0</v>
      </c>
      <c r="E108" s="342" t="str">
        <f>IF(ISBLANK(C108),"",IFERROR(IF(fnStepCostHourly=0,fnStepNotAvail,IF(ISBLANK(D108),"",fnStepCostHourly*$D108*VLOOKUP(BasisYear,ChemPPI[],14,FALSE)/VLOOKUP(2017,ChemPPI[],14,FALSE))),""))</f>
        <v/>
      </c>
      <c r="F108" s="342" t="str">
        <f t="shared" si="4"/>
        <v/>
      </c>
      <c r="G108" s="341" t="str">
        <f t="shared" si="5"/>
        <v/>
      </c>
      <c r="H108" s="248"/>
      <c r="I108" s="247" t="str">
        <f>IFERROR(VLOOKUP($C108,Steps[],5,FALSE),"")</f>
        <v>Substitute with belt or rotary vacuum at M/L scale</v>
      </c>
      <c r="J108" s="251"/>
    </row>
    <row r="109" spans="2:10" ht="16" hidden="1" customHeight="1" outlineLevel="1">
      <c r="B109" s="16"/>
      <c r="C109" s="69" t="s">
        <v>1076</v>
      </c>
      <c r="D109" s="246">
        <v>1</v>
      </c>
      <c r="E109" s="342" t="str">
        <f>IF(ISBLANK(C109),"",IFERROR(IF(fnStepCostHourly=0,fnStepNotAvail,IF(ISBLANK(D109),"",fnStepCostHourly*$D109*VLOOKUP(BasisYear,ChemPPI[],14,FALSE)/VLOOKUP(2017,ChemPPI[],14,FALSE))),""))</f>
        <v/>
      </c>
      <c r="F109" s="342" t="str">
        <f t="shared" si="4"/>
        <v/>
      </c>
      <c r="G109" s="341" t="str">
        <f t="shared" si="5"/>
        <v/>
      </c>
      <c r="H109" s="248"/>
      <c r="I109" s="247" t="str">
        <f>IFERROR(VLOOKUP($C109,Steps[],5,FALSE),"")</f>
        <v>-</v>
      </c>
      <c r="J109" s="251"/>
    </row>
    <row r="110" spans="2:10" ht="16" hidden="1" customHeight="1" outlineLevel="1">
      <c r="B110" s="16"/>
      <c r="C110" s="69" t="s">
        <v>929</v>
      </c>
      <c r="D110" s="246">
        <v>1</v>
      </c>
      <c r="E110" s="342" t="str">
        <f>IF(ISBLANK(C110),"",IFERROR(IF(fnStepCostHourly=0,fnStepNotAvail,IF(ISBLANK(D110),"",fnStepCostHourly*$D110*VLOOKUP(BasisYear,ChemPPI[],14,FALSE)/VLOOKUP(2017,ChemPPI[],14,FALSE))),""))</f>
        <v/>
      </c>
      <c r="F110" s="342" t="str">
        <f t="shared" si="4"/>
        <v/>
      </c>
      <c r="G110" s="341" t="str">
        <f t="shared" si="5"/>
        <v/>
      </c>
      <c r="H110" s="248"/>
      <c r="I110" s="247" t="str">
        <f>IFERROR(VLOOKUP($C110,Steps[],5,FALSE),"")</f>
        <v>-</v>
      </c>
      <c r="J110" s="251"/>
    </row>
    <row r="111" spans="2:10" ht="16" hidden="1" customHeight="1" outlineLevel="1">
      <c r="B111" s="16"/>
      <c r="C111" s="69"/>
      <c r="D111" s="246"/>
      <c r="E111" s="342" t="str">
        <f>IF(ISBLANK(C111),"",IFERROR(IF(fnStepCostHourly=0,fnStepNotAvail,IF(ISBLANK(D111),"",fnStepCostHourly*$D111*VLOOKUP(BasisYear,ChemPPI[],14,FALSE)/VLOOKUP(2017,ChemPPI[],14,FALSE))),""))</f>
        <v/>
      </c>
      <c r="F111" s="342" t="str">
        <f t="shared" si="4"/>
        <v/>
      </c>
      <c r="G111" s="341" t="str">
        <f t="shared" si="5"/>
        <v/>
      </c>
      <c r="H111" s="248"/>
      <c r="I111" s="247" t="str">
        <f>IFERROR(VLOOKUP($C111,Steps[],5,FALSE),"")</f>
        <v/>
      </c>
      <c r="J111" s="251"/>
    </row>
    <row r="112" spans="2:10" ht="16" hidden="1" customHeight="1" outlineLevel="1">
      <c r="B112" s="16"/>
      <c r="C112" s="69"/>
      <c r="D112" s="246"/>
      <c r="E112" s="342" t="str">
        <f>IF(ISBLANK(C112),"",IFERROR(IF(fnStepCostHourly=0,fnStepNotAvail,IF(ISBLANK(D112),"",fnStepCostHourly*$D112*VLOOKUP(BasisYear,ChemPPI[],14,FALSE)/VLOOKUP(2017,ChemPPI[],14,FALSE))),""))</f>
        <v/>
      </c>
      <c r="F112" s="342" t="str">
        <f t="shared" si="4"/>
        <v/>
      </c>
      <c r="G112" s="341" t="str">
        <f t="shared" si="5"/>
        <v/>
      </c>
      <c r="H112" s="248"/>
      <c r="I112" s="247" t="str">
        <f>IFERROR(VLOOKUP($C112,Steps[],5,FALSE),"")</f>
        <v/>
      </c>
      <c r="J112" s="251"/>
    </row>
    <row r="113" spans="1:10" ht="16" hidden="1" customHeight="1" outlineLevel="1">
      <c r="B113" s="16"/>
      <c r="C113" s="69"/>
      <c r="D113" s="246"/>
      <c r="E113" s="342" t="str">
        <f>IF(ISBLANK(C113),"",IFERROR(IF(fnStepCostHourly=0,fnStepNotAvail,IF(ISBLANK(D113),"",fnStepCostHourly*$D113*VLOOKUP(BasisYear,ChemPPI[],14,FALSE)/VLOOKUP(2017,ChemPPI[],14,FALSE))),""))</f>
        <v/>
      </c>
      <c r="F113" s="342" t="str">
        <f t="shared" si="4"/>
        <v/>
      </c>
      <c r="G113" s="341" t="str">
        <f t="shared" si="5"/>
        <v/>
      </c>
      <c r="H113" s="248"/>
      <c r="I113" s="247" t="str">
        <f>IFERROR(VLOOKUP($C113,Steps[],5,FALSE),"")</f>
        <v/>
      </c>
      <c r="J113" s="251"/>
    </row>
    <row r="114" spans="1:10" ht="16" hidden="1" customHeight="1" outlineLevel="1">
      <c r="B114" s="16"/>
      <c r="C114" s="69"/>
      <c r="D114" s="246"/>
      <c r="E114" s="342" t="str">
        <f>IF(ISBLANK(C114),"",IFERROR(IF(fnStepCostHourly=0,fnStepNotAvail,IF(ISBLANK(D114),"",fnStepCostHourly*$D114*VLOOKUP(BasisYear,ChemPPI[],14,FALSE)/VLOOKUP(2017,ChemPPI[],14,FALSE))),""))</f>
        <v/>
      </c>
      <c r="F114" s="342" t="str">
        <f t="shared" si="4"/>
        <v/>
      </c>
      <c r="G114" s="341" t="str">
        <f t="shared" si="5"/>
        <v/>
      </c>
      <c r="H114" s="248"/>
      <c r="I114" s="247" t="str">
        <f>IFERROR(VLOOKUP($C114,Steps[],5,FALSE),"")</f>
        <v/>
      </c>
      <c r="J114" s="251"/>
    </row>
    <row r="115" spans="1:10" ht="16" hidden="1" customHeight="1" outlineLevel="1">
      <c r="B115" s="16"/>
      <c r="C115" s="69"/>
      <c r="D115" s="246"/>
      <c r="E115" s="342" t="str">
        <f>IF(ISBLANK(C115),"",IFERROR(IF(fnStepCostHourly=0,fnStepNotAvail,IF(ISBLANK(D115),"",fnStepCostHourly*$D115*VLOOKUP(BasisYear,ChemPPI[],14,FALSE)/VLOOKUP(2017,ChemPPI[],14,FALSE))),""))</f>
        <v/>
      </c>
      <c r="F115" s="342" t="str">
        <f t="shared" si="4"/>
        <v/>
      </c>
      <c r="G115" s="341" t="str">
        <f t="shared" si="5"/>
        <v/>
      </c>
      <c r="H115" s="248"/>
      <c r="I115" s="247" t="str">
        <f>IFERROR(VLOOKUP($C115,Steps[],5,FALSE),"")</f>
        <v/>
      </c>
      <c r="J115" s="251"/>
    </row>
    <row r="116" spans="1:10" ht="16" hidden="1" customHeight="1" outlineLevel="1">
      <c r="B116" s="16"/>
      <c r="C116" s="69"/>
      <c r="D116" s="246"/>
      <c r="E116" s="342" t="str">
        <f>IF(ISBLANK(C116),"",IFERROR(IF(fnStepCostHourly=0,fnStepNotAvail,IF(ISBLANK(D116),"",fnStepCostHourly*$D116*VLOOKUP(BasisYear,ChemPPI[],14,FALSE)/VLOOKUP(2017,ChemPPI[],14,FALSE))),""))</f>
        <v/>
      </c>
      <c r="F116" s="342" t="str">
        <f t="shared" si="4"/>
        <v/>
      </c>
      <c r="G116" s="341" t="str">
        <f t="shared" si="5"/>
        <v/>
      </c>
      <c r="H116" s="248"/>
      <c r="I116" s="247" t="str">
        <f>IFERROR(VLOOKUP($C116,Steps[],5,FALSE),"")</f>
        <v/>
      </c>
      <c r="J116" s="251"/>
    </row>
    <row r="117" spans="1:10" ht="16" hidden="1" customHeight="1" outlineLevel="1">
      <c r="B117" s="16"/>
      <c r="C117" s="69"/>
      <c r="D117" s="246"/>
      <c r="E117" s="342" t="str">
        <f>IF(ISBLANK(C117),"",IFERROR(IF(fnStepCostHourly=0,fnStepNotAvail,IF(ISBLANK(D117),"",fnStepCostHourly*$D117*VLOOKUP(BasisYear,ChemPPI[],14,FALSE)/VLOOKUP(2017,ChemPPI[],14,FALSE))),""))</f>
        <v/>
      </c>
      <c r="F117" s="342" t="str">
        <f t="shared" si="4"/>
        <v/>
      </c>
      <c r="G117" s="341" t="str">
        <f t="shared" si="5"/>
        <v/>
      </c>
      <c r="H117" s="248"/>
      <c r="I117" s="247" t="str">
        <f>IFERROR(VLOOKUP($C117,Steps[],5,FALSE),"")</f>
        <v/>
      </c>
      <c r="J117" s="251"/>
    </row>
    <row r="118" spans="1:10" ht="17" hidden="1" outlineLevel="1" thickBot="1">
      <c r="B118" s="252"/>
      <c r="C118" s="253"/>
      <c r="D118" s="253"/>
      <c r="E118" s="253"/>
      <c r="F118" s="253"/>
      <c r="G118" s="253"/>
      <c r="H118" s="253"/>
      <c r="I118" s="253"/>
      <c r="J118" s="254"/>
    </row>
    <row r="119" spans="1:10" ht="17" collapsed="1" thickBot="1">
      <c r="A119" s="314" t="str">
        <f>"&lt;– show/hide "&amp;B87</f>
        <v>&lt;– show/hide Step Process Template: Magnesia/Alumina</v>
      </c>
    </row>
    <row r="120" spans="1:10" ht="21" thickBot="1">
      <c r="B120" s="355" t="str">
        <f>"Step Process Template: "&amp;C123</f>
        <v>Step Process Template: Metal Carbide (Bulk)</v>
      </c>
      <c r="C120" s="356"/>
      <c r="D120" s="356"/>
      <c r="E120" s="356"/>
      <c r="F120" s="356"/>
      <c r="G120" s="356"/>
      <c r="H120" s="357"/>
    </row>
    <row r="121" spans="1:10" hidden="1" outlineLevel="1">
      <c r="B121" s="13"/>
      <c r="C121" s="14"/>
      <c r="D121" s="14"/>
      <c r="E121" s="14"/>
      <c r="F121" s="14"/>
      <c r="G121" s="14"/>
      <c r="H121" s="15"/>
      <c r="J121" s="201"/>
    </row>
    <row r="122" spans="1:10" hidden="1" outlineLevel="1">
      <c r="B122" s="16"/>
      <c r="C122" s="17" t="s">
        <v>1055</v>
      </c>
      <c r="D122" s="256" t="s">
        <v>961</v>
      </c>
      <c r="E122" s="64" t="s">
        <v>953</v>
      </c>
      <c r="F122" s="64" t="s">
        <v>954</v>
      </c>
      <c r="G122" s="64" t="str">
        <f>"Cost ($/"&amp;OutMassUnit&amp;" catalyst)"</f>
        <v>Cost ($/lb catalyst)</v>
      </c>
      <c r="H122" s="250"/>
      <c r="J122" s="201"/>
    </row>
    <row r="123" spans="1:10" ht="16" hidden="1" customHeight="1" outlineLevel="1">
      <c r="B123" s="16"/>
      <c r="C123" s="18" t="s">
        <v>1062</v>
      </c>
      <c r="D123" s="256"/>
      <c r="E123" s="344">
        <f>SUM(E131:E150)</f>
        <v>0</v>
      </c>
      <c r="F123" s="344">
        <f>SUM(F131:F150)</f>
        <v>0</v>
      </c>
      <c r="G123" s="343">
        <f>SUM(G131:G150)</f>
        <v>0</v>
      </c>
      <c r="H123" s="336"/>
      <c r="J123" s="201"/>
    </row>
    <row r="124" spans="1:10" ht="16" hidden="1" customHeight="1" outlineLevel="1">
      <c r="B124" s="16"/>
      <c r="C124" s="353" t="str">
        <f>"Name: "&amp;C123</f>
        <v>Name: Metal Carbide (Bulk)</v>
      </c>
      <c r="D124" s="256"/>
      <c r="E124" s="347"/>
      <c r="F124" s="347"/>
      <c r="G124" s="348"/>
      <c r="H124" s="336"/>
      <c r="J124" s="201"/>
    </row>
    <row r="125" spans="1:10" ht="16" hidden="1" customHeight="1" outlineLevel="1">
      <c r="B125" s="16"/>
      <c r="C125" s="17" t="s">
        <v>1070</v>
      </c>
      <c r="D125" s="256"/>
      <c r="E125" s="347"/>
      <c r="F125" s="347"/>
      <c r="G125" s="348"/>
      <c r="H125" s="336"/>
      <c r="J125" s="201"/>
    </row>
    <row r="126" spans="1:10" ht="16" hidden="1" customHeight="1" outlineLevel="1">
      <c r="B126" s="16"/>
      <c r="C126" s="18" t="s">
        <v>1071</v>
      </c>
      <c r="D126" s="256"/>
      <c r="E126" s="347"/>
      <c r="F126" s="347"/>
      <c r="G126" s="348"/>
      <c r="H126" s="336"/>
      <c r="J126" s="201"/>
    </row>
    <row r="127" spans="1:10" ht="16" hidden="1" customHeight="1" outlineLevel="1">
      <c r="B127" s="16"/>
      <c r="C127" s="18" t="s">
        <v>1073</v>
      </c>
      <c r="D127" s="256"/>
      <c r="E127" s="347"/>
      <c r="F127" s="347"/>
      <c r="G127" s="348"/>
      <c r="H127" s="336"/>
      <c r="J127" s="201"/>
    </row>
    <row r="128" spans="1:10" ht="17" hidden="1" outlineLevel="1" thickBot="1">
      <c r="B128" s="21"/>
      <c r="C128" s="22"/>
      <c r="D128" s="22"/>
      <c r="E128" s="22"/>
      <c r="F128" s="22"/>
      <c r="G128" s="22"/>
      <c r="H128" s="23"/>
      <c r="J128" s="201"/>
    </row>
    <row r="129" spans="2:10" ht="16" hidden="1" customHeight="1" outlineLevel="1">
      <c r="B129" s="16"/>
      <c r="C129" s="18"/>
      <c r="D129" s="18"/>
      <c r="E129" s="18"/>
      <c r="F129" s="18"/>
      <c r="G129" s="18"/>
      <c r="H129" s="18"/>
      <c r="I129" s="14"/>
      <c r="J129" s="15"/>
    </row>
    <row r="130" spans="2:10" ht="17" hidden="1" customHeight="1" outlineLevel="1">
      <c r="B130" s="16"/>
      <c r="C130" s="339" t="s">
        <v>937</v>
      </c>
      <c r="D130" s="339" t="s">
        <v>309</v>
      </c>
      <c r="E130" s="339" t="s">
        <v>953</v>
      </c>
      <c r="F130" s="339" t="s">
        <v>954</v>
      </c>
      <c r="G130" s="339" t="str">
        <f>"Cost ($/"&amp;OutMassUnit&amp;" catalyst)"</f>
        <v>Cost ($/lb catalyst)</v>
      </c>
      <c r="H130" s="339"/>
      <c r="I130" s="339" t="s">
        <v>207</v>
      </c>
      <c r="J130" s="250"/>
    </row>
    <row r="131" spans="2:10" ht="16" hidden="1" customHeight="1" outlineLevel="1">
      <c r="B131" s="16"/>
      <c r="C131" s="337" t="s">
        <v>929</v>
      </c>
      <c r="D131" s="338">
        <v>1</v>
      </c>
      <c r="E131" s="342" t="str">
        <f>IF(ISBLANK(C131),"",IFERROR(IF(fnStepCostHourly=0,fnStepNotAvail,IF(ISBLANK(D131),"",fnStepCostHourly*$D131*VLOOKUP(BasisYear,ChemPPI[],14,FALSE)/VLOOKUP(2017,ChemPPI[],14,FALSE))),""))</f>
        <v/>
      </c>
      <c r="F131" s="342" t="str">
        <f t="shared" ref="F131:F150" si="6">IFERROR($E131*$D$9*24,$E131)</f>
        <v/>
      </c>
      <c r="G131" s="341" t="str">
        <f t="shared" ref="G131:G150" si="7">IFERROR($F131/$D$7,$F131)</f>
        <v/>
      </c>
      <c r="H131" s="248"/>
      <c r="I131" s="247" t="str">
        <f>IFERROR(VLOOKUP($C131,Steps[],5,FALSE),"")</f>
        <v>-</v>
      </c>
      <c r="J131" s="251"/>
    </row>
    <row r="132" spans="2:10" ht="16" hidden="1" customHeight="1" outlineLevel="1">
      <c r="B132" s="16"/>
      <c r="C132" s="349" t="s">
        <v>946</v>
      </c>
      <c r="D132" s="350">
        <f>2*IF($D$6&lt;5,0,IF($D$6&lt;70,1,1))</f>
        <v>2</v>
      </c>
      <c r="E132" s="342" t="str">
        <f>IF(ISBLANK(C132),"",IFERROR(IF(fnStepCostHourly=0,fnStepNotAvail,IF(ISBLANK(D132),"",fnStepCostHourly*$D132*VLOOKUP(BasisYear,ChemPPI[],14,FALSE)/VLOOKUP(2017,ChemPPI[],14,FALSE))),""))</f>
        <v/>
      </c>
      <c r="F132" s="342" t="str">
        <f t="shared" si="6"/>
        <v/>
      </c>
      <c r="G132" s="341" t="str">
        <f t="shared" si="7"/>
        <v/>
      </c>
      <c r="H132" s="248"/>
      <c r="I132" s="247" t="str">
        <f>IFERROR(VLOOKUP($C132,Steps[],5,FALSE),"")</f>
        <v>A.k.a. calciner. Sub with batch kiln at small scale</v>
      </c>
      <c r="J132" s="251"/>
    </row>
    <row r="133" spans="2:10" ht="16" hidden="1" customHeight="1" outlineLevel="1">
      <c r="B133" s="16"/>
      <c r="C133" s="349" t="s">
        <v>948</v>
      </c>
      <c r="D133" s="350">
        <f>2*IF($D$6&lt;5,1,IF($D$6&lt;70,0,0))</f>
        <v>0</v>
      </c>
      <c r="E133" s="342" t="str">
        <f>IF(ISBLANK(C133),"",IFERROR(IF(fnStepCostHourly=0,fnStepNotAvail,IF(ISBLANK(D133),"",fnStepCostHourly*$D133*VLOOKUP(BasisYear,ChemPPI[],14,FALSE)/VLOOKUP(2017,ChemPPI[],14,FALSE))),""))</f>
        <v/>
      </c>
      <c r="F133" s="342" t="str">
        <f t="shared" si="6"/>
        <v/>
      </c>
      <c r="G133" s="341" t="str">
        <f t="shared" si="7"/>
        <v/>
      </c>
      <c r="H133" s="248"/>
      <c r="I133" s="247" t="str">
        <f>IFERROR(VLOOKUP($C133,Steps[],5,FALSE),"")</f>
        <v>A.k.a. calciner. Sub with continuous kiln at M/L scale</v>
      </c>
      <c r="J133" s="251"/>
    </row>
    <row r="134" spans="2:10" ht="16" hidden="1" customHeight="1" outlineLevel="1">
      <c r="B134" s="16"/>
      <c r="C134" s="69" t="s">
        <v>939</v>
      </c>
      <c r="D134" s="246">
        <v>1</v>
      </c>
      <c r="E134" s="342" t="str">
        <f>IF(ISBLANK(C134),"",IFERROR(IF(fnStepCostHourly=0,fnStepNotAvail,IF(ISBLANK(D134),"",fnStepCostHourly*$D134*VLOOKUP(BasisYear,ChemPPI[],14,FALSE)/VLOOKUP(2017,ChemPPI[],14,FALSE))),""))</f>
        <v/>
      </c>
      <c r="F134" s="342" t="str">
        <f t="shared" si="6"/>
        <v/>
      </c>
      <c r="G134" s="341" t="str">
        <f t="shared" si="7"/>
        <v/>
      </c>
      <c r="H134" s="248"/>
      <c r="I134" s="247" t="str">
        <f>IFERROR(VLOOKUP($C134,Steps[],5,FALSE),"")</f>
        <v>-</v>
      </c>
      <c r="J134" s="251"/>
    </row>
    <row r="135" spans="2:10" ht="16" hidden="1" customHeight="1" outlineLevel="1">
      <c r="B135" s="16" t="s">
        <v>1072</v>
      </c>
      <c r="C135" s="69" t="s">
        <v>924</v>
      </c>
      <c r="D135" s="246">
        <v>1</v>
      </c>
      <c r="E135" s="342" t="str">
        <f>IF(ISBLANK(C135),"",IFERROR(IF(fnStepCostHourly=0,fnStepNotAvail,IF(ISBLANK(D135),"",fnStepCostHourly*$D135*VLOOKUP(BasisYear,ChemPPI[],14,FALSE)/VLOOKUP(2017,ChemPPI[],14,FALSE))),""))</f>
        <v/>
      </c>
      <c r="F135" s="342" t="str">
        <f t="shared" si="6"/>
        <v/>
      </c>
      <c r="G135" s="341" t="str">
        <f t="shared" si="7"/>
        <v/>
      </c>
      <c r="H135" s="248"/>
      <c r="I135" s="247" t="str">
        <f>IFERROR(VLOOKUP($C135,Steps[],5,FALSE),"")</f>
        <v>-</v>
      </c>
      <c r="J135" s="251"/>
    </row>
    <row r="136" spans="2:10" ht="16" hidden="1" customHeight="1" outlineLevel="1">
      <c r="B136" s="16" t="s">
        <v>1072</v>
      </c>
      <c r="C136" s="349" t="s">
        <v>926</v>
      </c>
      <c r="D136" s="350">
        <f>1*IF($D$6&lt;5,0,IF($D$6&lt;70,1,1))</f>
        <v>1</v>
      </c>
      <c r="E136" s="342" t="str">
        <f>IF(ISBLANK(C136),"",IFERROR(IF(fnStepCostHourly=0,fnStepNotAvail,IF(ISBLANK(D136),"",fnStepCostHourly*$D136*VLOOKUP(BasisYear,ChemPPI[],14,FALSE)/VLOOKUP(2017,ChemPPI[],14,FALSE))),""))</f>
        <v/>
      </c>
      <c r="F136" s="342" t="str">
        <f t="shared" si="6"/>
        <v/>
      </c>
      <c r="G136" s="341" t="str">
        <f t="shared" si="7"/>
        <v/>
      </c>
      <c r="H136" s="248"/>
      <c r="I136" s="247" t="str">
        <f>IFERROR(VLOOKUP($C136,Steps[],5,FALSE),"")</f>
        <v>Substitute with plate and frame at small scale</v>
      </c>
      <c r="J136" s="251"/>
    </row>
    <row r="137" spans="2:10" ht="16" hidden="1" customHeight="1" outlineLevel="1">
      <c r="B137" s="16" t="s">
        <v>1072</v>
      </c>
      <c r="C137" s="349" t="s">
        <v>928</v>
      </c>
      <c r="D137" s="350">
        <f>1*IF($D$6&lt;5,1,IF($D$6&lt;70,0,0))</f>
        <v>0</v>
      </c>
      <c r="E137" s="342" t="str">
        <f>IF(ISBLANK(C137),"",IFERROR(IF(fnStepCostHourly=0,fnStepNotAvail,IF(ISBLANK(D137),"",fnStepCostHourly*$D137*VLOOKUP(BasisYear,ChemPPI[],14,FALSE)/VLOOKUP(2017,ChemPPI[],14,FALSE))),""))</f>
        <v/>
      </c>
      <c r="F137" s="342" t="str">
        <f t="shared" si="6"/>
        <v/>
      </c>
      <c r="G137" s="341" t="str">
        <f t="shared" si="7"/>
        <v/>
      </c>
      <c r="H137" s="248"/>
      <c r="I137" s="247" t="str">
        <f>IFERROR(VLOOKUP($C137,Steps[],5,FALSE),"")</f>
        <v>Substitute with belt or rotary vacuum at M/L scale</v>
      </c>
      <c r="J137" s="251"/>
    </row>
    <row r="138" spans="2:10" ht="16" hidden="1" customHeight="1" outlineLevel="1">
      <c r="B138" s="16"/>
      <c r="C138" s="69" t="s">
        <v>1076</v>
      </c>
      <c r="D138" s="246">
        <v>1</v>
      </c>
      <c r="E138" s="342" t="str">
        <f>IF(ISBLANK(C138),"",IFERROR(IF(fnStepCostHourly=0,fnStepNotAvail,IF(ISBLANK(D138),"",fnStepCostHourly*$D138*VLOOKUP(BasisYear,ChemPPI[],14,FALSE)/VLOOKUP(2017,ChemPPI[],14,FALSE))),""))</f>
        <v/>
      </c>
      <c r="F138" s="342" t="str">
        <f t="shared" si="6"/>
        <v/>
      </c>
      <c r="G138" s="341" t="str">
        <f t="shared" si="7"/>
        <v/>
      </c>
      <c r="H138" s="248"/>
      <c r="I138" s="247" t="str">
        <f>IFERROR(VLOOKUP($C138,Steps[],5,FALSE),"")</f>
        <v>-</v>
      </c>
      <c r="J138" s="251"/>
    </row>
    <row r="139" spans="2:10" ht="16" hidden="1" customHeight="1" outlineLevel="1">
      <c r="B139" s="16"/>
      <c r="C139" s="69" t="s">
        <v>925</v>
      </c>
      <c r="D139" s="246">
        <v>1</v>
      </c>
      <c r="E139" s="342" t="str">
        <f>IF(ISBLANK(C139),"",IFERROR(IF(fnStepCostHourly=0,fnStepNotAvail,IF(ISBLANK(D139),"",fnStepCostHourly*$D139*VLOOKUP(BasisYear,ChemPPI[],14,FALSE)/VLOOKUP(2017,ChemPPI[],14,FALSE))),""))</f>
        <v/>
      </c>
      <c r="F139" s="342" t="str">
        <f t="shared" si="6"/>
        <v/>
      </c>
      <c r="G139" s="341" t="str">
        <f t="shared" si="7"/>
        <v/>
      </c>
      <c r="H139" s="248"/>
      <c r="I139" s="247" t="str">
        <f>IFERROR(VLOOKUP($C139,Steps[],5,FALSE),"")</f>
        <v>-</v>
      </c>
      <c r="J139" s="251"/>
    </row>
    <row r="140" spans="2:10" ht="16" hidden="1" customHeight="1" outlineLevel="1">
      <c r="B140" s="16"/>
      <c r="C140" s="69" t="s">
        <v>1075</v>
      </c>
      <c r="D140" s="246">
        <v>1</v>
      </c>
      <c r="E140" s="342" t="str">
        <f>IF(ISBLANK(C140),"",IFERROR(IF(fnStepCostHourly=0,fnStepNotAvail,IF(ISBLANK(D140),"",fnStepCostHourly*$D140*VLOOKUP(BasisYear,ChemPPI[],14,FALSE)/VLOOKUP(2017,ChemPPI[],14,FALSE))),""))</f>
        <v/>
      </c>
      <c r="F140" s="342" t="str">
        <f t="shared" si="6"/>
        <v/>
      </c>
      <c r="G140" s="341" t="str">
        <f t="shared" si="7"/>
        <v/>
      </c>
      <c r="H140" s="248"/>
      <c r="I140" s="247" t="str">
        <f>IFERROR(VLOOKUP($C140,Steps[],5,FALSE),"")</f>
        <v>For higher temp use kiln</v>
      </c>
      <c r="J140" s="251"/>
    </row>
    <row r="141" spans="2:10" ht="16" hidden="1" customHeight="1" outlineLevel="1">
      <c r="B141" s="16"/>
      <c r="C141" s="69"/>
      <c r="D141" s="246"/>
      <c r="E141" s="342" t="str">
        <f>IF(ISBLANK(C141),"",IFERROR(IF(fnStepCostHourly=0,fnStepNotAvail,IF(ISBLANK(D141),"",fnStepCostHourly*$D141*VLOOKUP(BasisYear,ChemPPI[],14,FALSE)/VLOOKUP(2017,ChemPPI[],14,FALSE))),""))</f>
        <v/>
      </c>
      <c r="F141" s="342" t="str">
        <f t="shared" si="6"/>
        <v/>
      </c>
      <c r="G141" s="341" t="str">
        <f t="shared" si="7"/>
        <v/>
      </c>
      <c r="H141" s="248"/>
      <c r="I141" s="247" t="str">
        <f>IFERROR(VLOOKUP($C141,Steps[],5,FALSE),"")</f>
        <v/>
      </c>
      <c r="J141" s="251"/>
    </row>
    <row r="142" spans="2:10" ht="16" hidden="1" customHeight="1" outlineLevel="1">
      <c r="B142" s="16"/>
      <c r="C142" s="69"/>
      <c r="D142" s="246"/>
      <c r="E142" s="342" t="str">
        <f>IF(ISBLANK(C142),"",IFERROR(IF(fnStepCostHourly=0,fnStepNotAvail,IF(ISBLANK(D142),"",fnStepCostHourly*$D142*VLOOKUP(BasisYear,ChemPPI[],14,FALSE)/VLOOKUP(2017,ChemPPI[],14,FALSE))),""))</f>
        <v/>
      </c>
      <c r="F142" s="342" t="str">
        <f t="shared" si="6"/>
        <v/>
      </c>
      <c r="G142" s="341" t="str">
        <f t="shared" si="7"/>
        <v/>
      </c>
      <c r="H142" s="248"/>
      <c r="I142" s="247" t="str">
        <f>IFERROR(VLOOKUP($C142,Steps[],5,FALSE),"")</f>
        <v/>
      </c>
      <c r="J142" s="251"/>
    </row>
    <row r="143" spans="2:10" ht="16" hidden="1" customHeight="1" outlineLevel="1">
      <c r="B143" s="16"/>
      <c r="C143" s="69"/>
      <c r="D143" s="246"/>
      <c r="E143" s="342" t="str">
        <f>IF(ISBLANK(C143),"",IFERROR(IF(fnStepCostHourly=0,fnStepNotAvail,IF(ISBLANK(D143),"",fnStepCostHourly*$D143*VLOOKUP(BasisYear,ChemPPI[],14,FALSE)/VLOOKUP(2017,ChemPPI[],14,FALSE))),""))</f>
        <v/>
      </c>
      <c r="F143" s="342" t="str">
        <f t="shared" si="6"/>
        <v/>
      </c>
      <c r="G143" s="341" t="str">
        <f t="shared" si="7"/>
        <v/>
      </c>
      <c r="H143" s="248"/>
      <c r="I143" s="247" t="str">
        <f>IFERROR(VLOOKUP($C143,Steps[],5,FALSE),"")</f>
        <v/>
      </c>
      <c r="J143" s="251"/>
    </row>
    <row r="144" spans="2:10" ht="16" hidden="1" customHeight="1" outlineLevel="1">
      <c r="B144" s="16"/>
      <c r="C144" s="69"/>
      <c r="D144" s="246"/>
      <c r="E144" s="342" t="str">
        <f>IF(ISBLANK(C144),"",IFERROR(IF(fnStepCostHourly=0,fnStepNotAvail,IF(ISBLANK(D144),"",fnStepCostHourly*$D144*VLOOKUP(BasisYear,ChemPPI[],14,FALSE)/VLOOKUP(2017,ChemPPI[],14,FALSE))),""))</f>
        <v/>
      </c>
      <c r="F144" s="342" t="str">
        <f t="shared" si="6"/>
        <v/>
      </c>
      <c r="G144" s="341" t="str">
        <f t="shared" si="7"/>
        <v/>
      </c>
      <c r="H144" s="248"/>
      <c r="I144" s="247" t="str">
        <f>IFERROR(VLOOKUP($C144,Steps[],5,FALSE),"")</f>
        <v/>
      </c>
      <c r="J144" s="251"/>
    </row>
    <row r="145" spans="1:10" ht="16" hidden="1" customHeight="1" outlineLevel="1">
      <c r="B145" s="16"/>
      <c r="C145" s="69"/>
      <c r="D145" s="246"/>
      <c r="E145" s="342" t="str">
        <f>IF(ISBLANK(C145),"",IFERROR(IF(fnStepCostHourly=0,fnStepNotAvail,IF(ISBLANK(D145),"",fnStepCostHourly*$D145*VLOOKUP(BasisYear,ChemPPI[],14,FALSE)/VLOOKUP(2017,ChemPPI[],14,FALSE))),""))</f>
        <v/>
      </c>
      <c r="F145" s="342" t="str">
        <f t="shared" si="6"/>
        <v/>
      </c>
      <c r="G145" s="341" t="str">
        <f t="shared" si="7"/>
        <v/>
      </c>
      <c r="H145" s="248"/>
      <c r="I145" s="247" t="str">
        <f>IFERROR(VLOOKUP($C145,Steps[],5,FALSE),"")</f>
        <v/>
      </c>
      <c r="J145" s="251"/>
    </row>
    <row r="146" spans="1:10" ht="16" hidden="1" customHeight="1" outlineLevel="1">
      <c r="B146" s="16"/>
      <c r="C146" s="69"/>
      <c r="D146" s="246"/>
      <c r="E146" s="342" t="str">
        <f>IF(ISBLANK(C146),"",IFERROR(IF(fnStepCostHourly=0,fnStepNotAvail,IF(ISBLANK(D146),"",fnStepCostHourly*$D146*VLOOKUP(BasisYear,ChemPPI[],14,FALSE)/VLOOKUP(2017,ChemPPI[],14,FALSE))),""))</f>
        <v/>
      </c>
      <c r="F146" s="342" t="str">
        <f t="shared" si="6"/>
        <v/>
      </c>
      <c r="G146" s="341" t="str">
        <f t="shared" si="7"/>
        <v/>
      </c>
      <c r="H146" s="248"/>
      <c r="I146" s="247" t="str">
        <f>IFERROR(VLOOKUP($C146,Steps[],5,FALSE),"")</f>
        <v/>
      </c>
      <c r="J146" s="251"/>
    </row>
    <row r="147" spans="1:10" ht="16" hidden="1" customHeight="1" outlineLevel="1">
      <c r="B147" s="16"/>
      <c r="C147" s="69"/>
      <c r="D147" s="246"/>
      <c r="E147" s="342" t="str">
        <f>IF(ISBLANK(C147),"",IFERROR(IF(fnStepCostHourly=0,fnStepNotAvail,IF(ISBLANK(D147),"",fnStepCostHourly*$D147*VLOOKUP(BasisYear,ChemPPI[],14,FALSE)/VLOOKUP(2017,ChemPPI[],14,FALSE))),""))</f>
        <v/>
      </c>
      <c r="F147" s="342" t="str">
        <f t="shared" si="6"/>
        <v/>
      </c>
      <c r="G147" s="341" t="str">
        <f t="shared" si="7"/>
        <v/>
      </c>
      <c r="H147" s="248"/>
      <c r="I147" s="247" t="str">
        <f>IFERROR(VLOOKUP($C147,Steps[],5,FALSE),"")</f>
        <v/>
      </c>
      <c r="J147" s="251"/>
    </row>
    <row r="148" spans="1:10" ht="16" hidden="1" customHeight="1" outlineLevel="1">
      <c r="B148" s="16"/>
      <c r="C148" s="69"/>
      <c r="D148" s="246"/>
      <c r="E148" s="342" t="str">
        <f>IF(ISBLANK(C148),"",IFERROR(IF(fnStepCostHourly=0,fnStepNotAvail,IF(ISBLANK(D148),"",fnStepCostHourly*$D148*VLOOKUP(BasisYear,ChemPPI[],14,FALSE)/VLOOKUP(2017,ChemPPI[],14,FALSE))),""))</f>
        <v/>
      </c>
      <c r="F148" s="342" t="str">
        <f t="shared" si="6"/>
        <v/>
      </c>
      <c r="G148" s="341" t="str">
        <f t="shared" si="7"/>
        <v/>
      </c>
      <c r="H148" s="248"/>
      <c r="I148" s="247" t="str">
        <f>IFERROR(VLOOKUP($C148,Steps[],5,FALSE),"")</f>
        <v/>
      </c>
      <c r="J148" s="251"/>
    </row>
    <row r="149" spans="1:10" ht="16" hidden="1" customHeight="1" outlineLevel="1">
      <c r="B149" s="16"/>
      <c r="C149" s="69"/>
      <c r="D149" s="246"/>
      <c r="E149" s="342" t="str">
        <f>IF(ISBLANK(C149),"",IFERROR(IF(fnStepCostHourly=0,fnStepNotAvail,IF(ISBLANK(D149),"",fnStepCostHourly*$D149*VLOOKUP(BasisYear,ChemPPI[],14,FALSE)/VLOOKUP(2017,ChemPPI[],14,FALSE))),""))</f>
        <v/>
      </c>
      <c r="F149" s="342" t="str">
        <f t="shared" si="6"/>
        <v/>
      </c>
      <c r="G149" s="341" t="str">
        <f t="shared" si="7"/>
        <v/>
      </c>
      <c r="H149" s="248"/>
      <c r="I149" s="247" t="str">
        <f>IFERROR(VLOOKUP($C149,Steps[],5,FALSE),"")</f>
        <v/>
      </c>
      <c r="J149" s="251"/>
    </row>
    <row r="150" spans="1:10" ht="16" hidden="1" customHeight="1" outlineLevel="1">
      <c r="B150" s="16"/>
      <c r="C150" s="69"/>
      <c r="D150" s="246"/>
      <c r="E150" s="342" t="str">
        <f>IF(ISBLANK(C150),"",IFERROR(IF(fnStepCostHourly=0,fnStepNotAvail,IF(ISBLANK(D150),"",fnStepCostHourly*$D150*VLOOKUP(BasisYear,ChemPPI[],14,FALSE)/VLOOKUP(2017,ChemPPI[],14,FALSE))),""))</f>
        <v/>
      </c>
      <c r="F150" s="342" t="str">
        <f t="shared" si="6"/>
        <v/>
      </c>
      <c r="G150" s="341" t="str">
        <f t="shared" si="7"/>
        <v/>
      </c>
      <c r="H150" s="248"/>
      <c r="I150" s="247" t="str">
        <f>IFERROR(VLOOKUP($C150,Steps[],5,FALSE),"")</f>
        <v/>
      </c>
      <c r="J150" s="251"/>
    </row>
    <row r="151" spans="1:10" ht="17" hidden="1" outlineLevel="1" thickBot="1">
      <c r="B151" s="252"/>
      <c r="C151" s="253"/>
      <c r="D151" s="253"/>
      <c r="E151" s="253"/>
      <c r="F151" s="253"/>
      <c r="G151" s="253"/>
      <c r="H151" s="253"/>
      <c r="I151" s="253"/>
      <c r="J151" s="254"/>
    </row>
    <row r="152" spans="1:10" ht="17" collapsed="1" thickBot="1">
      <c r="A152" s="314" t="str">
        <f>"&lt;– show/hide "&amp;B120</f>
        <v>&lt;– show/hide Step Process Template: Metal Carbide (Bulk)</v>
      </c>
    </row>
    <row r="153" spans="1:10" ht="21" thickBot="1">
      <c r="B153" s="355" t="str">
        <f>"Step Process Template: "&amp;C156</f>
        <v>Step Process Template: Metal Carbide on Metal Oxide</v>
      </c>
      <c r="C153" s="356"/>
      <c r="D153" s="356"/>
      <c r="E153" s="356"/>
      <c r="F153" s="356"/>
      <c r="G153" s="356"/>
      <c r="H153" s="357"/>
    </row>
    <row r="154" spans="1:10" hidden="1" outlineLevel="1">
      <c r="B154" s="13"/>
      <c r="C154" s="14"/>
      <c r="D154" s="14"/>
      <c r="E154" s="14"/>
      <c r="F154" s="14"/>
      <c r="G154" s="14"/>
      <c r="H154" s="15"/>
      <c r="J154" s="201"/>
    </row>
    <row r="155" spans="1:10" hidden="1" outlineLevel="1">
      <c r="B155" s="16"/>
      <c r="C155" s="17" t="s">
        <v>1055</v>
      </c>
      <c r="D155" s="256" t="s">
        <v>961</v>
      </c>
      <c r="E155" s="64" t="s">
        <v>953</v>
      </c>
      <c r="F155" s="64" t="s">
        <v>954</v>
      </c>
      <c r="G155" s="64" t="str">
        <f>"Cost ($/"&amp;OutMassUnit&amp;" catalyst)"</f>
        <v>Cost ($/lb catalyst)</v>
      </c>
      <c r="H155" s="250"/>
      <c r="J155" s="201"/>
    </row>
    <row r="156" spans="1:10" ht="16" hidden="1" customHeight="1" outlineLevel="1">
      <c r="B156" s="16"/>
      <c r="C156" s="18" t="s">
        <v>1002</v>
      </c>
      <c r="D156" s="256"/>
      <c r="E156" s="344">
        <f>SUM(E164:E183)</f>
        <v>0</v>
      </c>
      <c r="F156" s="344">
        <f>SUM(F164:F183)</f>
        <v>0</v>
      </c>
      <c r="G156" s="343">
        <f>SUM(G164:G183)</f>
        <v>0</v>
      </c>
      <c r="H156" s="336"/>
      <c r="J156" s="201"/>
    </row>
    <row r="157" spans="1:10" ht="16" hidden="1" customHeight="1" outlineLevel="1">
      <c r="B157" s="16"/>
      <c r="C157" s="353" t="str">
        <f>"Name: "&amp;C156</f>
        <v>Name: Metal Carbide on Metal Oxide</v>
      </c>
      <c r="D157" s="256"/>
      <c r="E157" s="347"/>
      <c r="F157" s="347"/>
      <c r="G157" s="348"/>
      <c r="H157" s="336"/>
      <c r="J157" s="201"/>
    </row>
    <row r="158" spans="1:10" ht="16" hidden="1" customHeight="1" outlineLevel="1">
      <c r="B158" s="16"/>
      <c r="C158" s="17" t="s">
        <v>1070</v>
      </c>
      <c r="D158" s="256"/>
      <c r="E158" s="347"/>
      <c r="F158" s="347"/>
      <c r="G158" s="348"/>
      <c r="H158" s="336"/>
      <c r="J158" s="201"/>
    </row>
    <row r="159" spans="1:10" ht="16" hidden="1" customHeight="1" outlineLevel="1">
      <c r="B159" s="16"/>
      <c r="C159" s="18" t="s">
        <v>1074</v>
      </c>
      <c r="D159" s="256"/>
      <c r="E159" s="347"/>
      <c r="F159" s="347"/>
      <c r="G159" s="348"/>
      <c r="H159" s="336"/>
      <c r="J159" s="201"/>
    </row>
    <row r="160" spans="1:10" ht="16" hidden="1" customHeight="1" outlineLevel="1">
      <c r="B160" s="16"/>
      <c r="C160" s="18" t="s">
        <v>1073</v>
      </c>
      <c r="D160" s="256"/>
      <c r="E160" s="347"/>
      <c r="F160" s="347"/>
      <c r="G160" s="348"/>
      <c r="H160" s="336"/>
      <c r="J160" s="201"/>
    </row>
    <row r="161" spans="2:10" ht="17" hidden="1" outlineLevel="1" thickBot="1">
      <c r="B161" s="21"/>
      <c r="C161" s="22"/>
      <c r="D161" s="22"/>
      <c r="E161" s="22"/>
      <c r="F161" s="22"/>
      <c r="G161" s="22"/>
      <c r="H161" s="23"/>
      <c r="J161" s="201"/>
    </row>
    <row r="162" spans="2:10" ht="16" hidden="1" customHeight="1" outlineLevel="1">
      <c r="B162" s="16"/>
      <c r="C162" s="18"/>
      <c r="D162" s="18"/>
      <c r="E162" s="18"/>
      <c r="F162" s="18"/>
      <c r="G162" s="18"/>
      <c r="H162" s="18"/>
      <c r="I162" s="14"/>
      <c r="J162" s="15"/>
    </row>
    <row r="163" spans="2:10" ht="17" hidden="1" customHeight="1" outlineLevel="1">
      <c r="B163" s="16"/>
      <c r="C163" s="339" t="s">
        <v>937</v>
      </c>
      <c r="D163" s="339" t="s">
        <v>309</v>
      </c>
      <c r="E163" s="339" t="s">
        <v>953</v>
      </c>
      <c r="F163" s="339" t="s">
        <v>954</v>
      </c>
      <c r="G163" s="339" t="str">
        <f>"Cost ($/"&amp;OutMassUnit&amp;" catalyst)"</f>
        <v>Cost ($/lb catalyst)</v>
      </c>
      <c r="H163" s="339"/>
      <c r="I163" s="339" t="s">
        <v>207</v>
      </c>
      <c r="J163" s="250"/>
    </row>
    <row r="164" spans="2:10" ht="16" hidden="1" customHeight="1" outlineLevel="1">
      <c r="B164" s="16"/>
      <c r="C164" s="337" t="s">
        <v>931</v>
      </c>
      <c r="D164" s="338">
        <v>1</v>
      </c>
      <c r="E164" s="342" t="str">
        <f>IF(ISBLANK(C164),"",IFERROR(IF(fnStepCostHourly=0,fnStepNotAvail,IF(ISBLANK(D164),"",fnStepCostHourly*$D164*VLOOKUP(BasisYear,ChemPPI[],14,FALSE)/VLOOKUP(2017,ChemPPI[],14,FALSE))),""))</f>
        <v/>
      </c>
      <c r="F164" s="342" t="str">
        <f t="shared" ref="F164:F183" si="8">IFERROR($E164*$D$9*24,$E164)</f>
        <v/>
      </c>
      <c r="G164" s="341" t="str">
        <f t="shared" ref="G164:G183" si="9">IFERROR($F164/$D$7,$F164)</f>
        <v/>
      </c>
      <c r="H164" s="248"/>
      <c r="I164" s="247" t="str">
        <f>IFERROR(VLOOKUP($C164,Steps[],5,FALSE),"")</f>
        <v>-</v>
      </c>
      <c r="J164" s="251"/>
    </row>
    <row r="165" spans="2:10" ht="16" hidden="1" customHeight="1" outlineLevel="1">
      <c r="B165" s="16"/>
      <c r="C165" s="69" t="s">
        <v>923</v>
      </c>
      <c r="D165" s="246">
        <v>1</v>
      </c>
      <c r="E165" s="342" t="str">
        <f>IF(ISBLANK(C165),"",IFERROR(IF(fnStepCostHourly=0,fnStepNotAvail,IF(ISBLANK(D165),"",fnStepCostHourly*$D165*VLOOKUP(BasisYear,ChemPPI[],14,FALSE)/VLOOKUP(2017,ChemPPI[],14,FALSE))),""))</f>
        <v/>
      </c>
      <c r="F165" s="342" t="str">
        <f t="shared" si="8"/>
        <v/>
      </c>
      <c r="G165" s="341" t="str">
        <f t="shared" si="9"/>
        <v/>
      </c>
      <c r="H165" s="248"/>
      <c r="I165" s="247" t="str">
        <f>IFERROR(VLOOKUP($C165,Steps[],5,FALSE),"")</f>
        <v>-</v>
      </c>
      <c r="J165" s="251"/>
    </row>
    <row r="166" spans="2:10" ht="16" hidden="1" customHeight="1" outlineLevel="1">
      <c r="B166" s="16"/>
      <c r="C166" s="349" t="s">
        <v>946</v>
      </c>
      <c r="D166" s="350">
        <f>1*IF($D$6&lt;5,0,IF($D$6&lt;70,1,1))</f>
        <v>1</v>
      </c>
      <c r="E166" s="342" t="str">
        <f>IF(ISBLANK(C166),"",IFERROR(IF(fnStepCostHourly=0,fnStepNotAvail,IF(ISBLANK(D166),"",fnStepCostHourly*$D166*VLOOKUP(BasisYear,ChemPPI[],14,FALSE)/VLOOKUP(2017,ChemPPI[],14,FALSE))),""))</f>
        <v/>
      </c>
      <c r="F166" s="342" t="str">
        <f t="shared" si="8"/>
        <v/>
      </c>
      <c r="G166" s="341" t="str">
        <f t="shared" si="9"/>
        <v/>
      </c>
      <c r="H166" s="248"/>
      <c r="I166" s="247" t="str">
        <f>IFERROR(VLOOKUP($C166,Steps[],5,FALSE),"")</f>
        <v>A.k.a. calciner. Sub with batch kiln at small scale</v>
      </c>
      <c r="J166" s="251"/>
    </row>
    <row r="167" spans="2:10" ht="16" hidden="1" customHeight="1" outlineLevel="1">
      <c r="B167" s="16"/>
      <c r="C167" s="349" t="s">
        <v>948</v>
      </c>
      <c r="D167" s="350">
        <f>1*IF($D$6&lt;5,1,IF($D$6&lt;70,0,0))</f>
        <v>0</v>
      </c>
      <c r="E167" s="342" t="str">
        <f>IF(ISBLANK(C167),"",IFERROR(IF(fnStepCostHourly=0,fnStepNotAvail,IF(ISBLANK(D167),"",fnStepCostHourly*$D167*VLOOKUP(BasisYear,ChemPPI[],14,FALSE)/VLOOKUP(2017,ChemPPI[],14,FALSE))),""))</f>
        <v/>
      </c>
      <c r="F167" s="342" t="str">
        <f t="shared" si="8"/>
        <v/>
      </c>
      <c r="G167" s="341" t="str">
        <f t="shared" si="9"/>
        <v/>
      </c>
      <c r="H167" s="248"/>
      <c r="I167" s="247" t="str">
        <f>IFERROR(VLOOKUP($C167,Steps[],5,FALSE),"")</f>
        <v>A.k.a. calciner. Sub with continuous kiln at M/L scale</v>
      </c>
      <c r="J167" s="251"/>
    </row>
    <row r="168" spans="2:10" ht="16" hidden="1" customHeight="1" outlineLevel="1">
      <c r="B168" s="16"/>
      <c r="C168" s="69" t="s">
        <v>939</v>
      </c>
      <c r="D168" s="246">
        <v>1</v>
      </c>
      <c r="E168" s="342" t="str">
        <f>IF(ISBLANK(C168),"",IFERROR(IF(fnStepCostHourly=0,fnStepNotAvail,IF(ISBLANK(D168),"",fnStepCostHourly*$D168*VLOOKUP(BasisYear,ChemPPI[],14,FALSE)/VLOOKUP(2017,ChemPPI[],14,FALSE))),""))</f>
        <v/>
      </c>
      <c r="F168" s="342" t="str">
        <f t="shared" si="8"/>
        <v/>
      </c>
      <c r="G168" s="341" t="str">
        <f t="shared" si="9"/>
        <v/>
      </c>
      <c r="H168" s="248"/>
      <c r="I168" s="247" t="str">
        <f>IFERROR(VLOOKUP($C168,Steps[],5,FALSE),"")</f>
        <v>-</v>
      </c>
      <c r="J168" s="251"/>
    </row>
    <row r="169" spans="2:10" ht="16" hidden="1" customHeight="1" outlineLevel="1">
      <c r="B169" s="16" t="s">
        <v>1079</v>
      </c>
      <c r="C169" s="69" t="s">
        <v>924</v>
      </c>
      <c r="D169" s="246">
        <v>1</v>
      </c>
      <c r="E169" s="342" t="str">
        <f>IF(ISBLANK(C169),"",IFERROR(IF(fnStepCostHourly=0,fnStepNotAvail,IF(ISBLANK(D169),"",fnStepCostHourly*$D169*VLOOKUP(BasisYear,ChemPPI[],14,FALSE)/VLOOKUP(2017,ChemPPI[],14,FALSE))),""))</f>
        <v/>
      </c>
      <c r="F169" s="342" t="str">
        <f t="shared" si="8"/>
        <v/>
      </c>
      <c r="G169" s="341" t="str">
        <f t="shared" si="9"/>
        <v/>
      </c>
      <c r="H169" s="248"/>
      <c r="I169" s="247" t="str">
        <f>IFERROR(VLOOKUP($C169,Steps[],5,FALSE),"")</f>
        <v>-</v>
      </c>
      <c r="J169" s="251"/>
    </row>
    <row r="170" spans="2:10" ht="16" hidden="1" customHeight="1" outlineLevel="1">
      <c r="B170" s="16" t="s">
        <v>1072</v>
      </c>
      <c r="C170" s="349" t="s">
        <v>926</v>
      </c>
      <c r="D170" s="350">
        <f>1*IF($D$6&lt;5,0,IF($D$6&lt;70,1,1))</f>
        <v>1</v>
      </c>
      <c r="E170" s="342" t="str">
        <f>IF(ISBLANK(C170),"",IFERROR(IF(fnStepCostHourly=0,fnStepNotAvail,IF(ISBLANK(D170),"",fnStepCostHourly*$D170*VLOOKUP(BasisYear,ChemPPI[],14,FALSE)/VLOOKUP(2017,ChemPPI[],14,FALSE))),""))</f>
        <v/>
      </c>
      <c r="F170" s="342" t="str">
        <f t="shared" si="8"/>
        <v/>
      </c>
      <c r="G170" s="341" t="str">
        <f t="shared" si="9"/>
        <v/>
      </c>
      <c r="H170" s="248"/>
      <c r="I170" s="247" t="str">
        <f>IFERROR(VLOOKUP($C170,Steps[],5,FALSE),"")</f>
        <v>Substitute with plate and frame at small scale</v>
      </c>
      <c r="J170" s="251"/>
    </row>
    <row r="171" spans="2:10" ht="16" hidden="1" customHeight="1" outlineLevel="1">
      <c r="B171" s="351" t="s">
        <v>1080</v>
      </c>
      <c r="C171" s="349" t="s">
        <v>928</v>
      </c>
      <c r="D171" s="350">
        <f>1*IF($D$6&lt;5,1,IF($D$6&lt;70,0,0))</f>
        <v>0</v>
      </c>
      <c r="E171" s="342" t="str">
        <f>IF(ISBLANK(C171),"",IFERROR(IF(fnStepCostHourly=0,fnStepNotAvail,IF(ISBLANK(D171),"",fnStepCostHourly*$D171*VLOOKUP(BasisYear,ChemPPI[],14,FALSE)/VLOOKUP(2017,ChemPPI[],14,FALSE))),""))</f>
        <v/>
      </c>
      <c r="F171" s="342" t="str">
        <f t="shared" si="8"/>
        <v/>
      </c>
      <c r="G171" s="341" t="str">
        <f t="shared" si="9"/>
        <v/>
      </c>
      <c r="H171" s="248"/>
      <c r="I171" s="247" t="str">
        <f>IFERROR(VLOOKUP($C171,Steps[],5,FALSE),"")</f>
        <v>Substitute with belt or rotary vacuum at M/L scale</v>
      </c>
      <c r="J171" s="251"/>
    </row>
    <row r="172" spans="2:10" ht="16" hidden="1" customHeight="1" outlineLevel="1">
      <c r="B172" s="16" t="s">
        <v>1079</v>
      </c>
      <c r="C172" s="69" t="s">
        <v>1076</v>
      </c>
      <c r="D172" s="246">
        <v>1</v>
      </c>
      <c r="E172" s="342" t="str">
        <f>IF(ISBLANK(C172),"",IFERROR(IF(fnStepCostHourly=0,fnStepNotAvail,IF(ISBLANK(D172),"",fnStepCostHourly*$D172*VLOOKUP(BasisYear,ChemPPI[],14,FALSE)/VLOOKUP(2017,ChemPPI[],14,FALSE))),""))</f>
        <v/>
      </c>
      <c r="F172" s="342" t="str">
        <f t="shared" si="8"/>
        <v/>
      </c>
      <c r="G172" s="341" t="str">
        <f t="shared" si="9"/>
        <v/>
      </c>
      <c r="H172" s="248"/>
      <c r="I172" s="247" t="str">
        <f>IFERROR(VLOOKUP($C172,Steps[],5,FALSE),"")</f>
        <v>-</v>
      </c>
      <c r="J172" s="251"/>
    </row>
    <row r="173" spans="2:10" ht="16" hidden="1" customHeight="1" outlineLevel="1">
      <c r="B173" s="16"/>
      <c r="C173" s="349" t="s">
        <v>946</v>
      </c>
      <c r="D173" s="350">
        <f>1*IF($D$6&lt;5,0,IF($D$6&lt;70,1,1))</f>
        <v>1</v>
      </c>
      <c r="E173" s="342" t="str">
        <f>IF(ISBLANK(C173),"",IFERROR(IF(fnStepCostHourly=0,fnStepNotAvail,IF(ISBLANK(D173),"",fnStepCostHourly*$D173*VLOOKUP(BasisYear,ChemPPI[],14,FALSE)/VLOOKUP(2017,ChemPPI[],14,FALSE))),""))</f>
        <v/>
      </c>
      <c r="F173" s="342" t="str">
        <f t="shared" si="8"/>
        <v/>
      </c>
      <c r="G173" s="341" t="str">
        <f t="shared" si="9"/>
        <v/>
      </c>
      <c r="H173" s="248"/>
      <c r="I173" s="247" t="str">
        <f>IFERROR(VLOOKUP($C173,Steps[],5,FALSE),"")</f>
        <v>A.k.a. calciner. Sub with batch kiln at small scale</v>
      </c>
      <c r="J173" s="251"/>
    </row>
    <row r="174" spans="2:10" ht="16" hidden="1" customHeight="1" outlineLevel="1">
      <c r="B174" s="16"/>
      <c r="C174" s="349" t="s">
        <v>948</v>
      </c>
      <c r="D174" s="350">
        <f>1*IF($D$6&lt;5,1,IF($D$6&lt;70,0,0))</f>
        <v>0</v>
      </c>
      <c r="E174" s="342" t="str">
        <f>IF(ISBLANK(C174),"",IFERROR(IF(fnStepCostHourly=0,fnStepNotAvail,IF(ISBLANK(D174),"",fnStepCostHourly*$D174*VLOOKUP(BasisYear,ChemPPI[],14,FALSE)/VLOOKUP(2017,ChemPPI[],14,FALSE))),""))</f>
        <v/>
      </c>
      <c r="F174" s="342" t="str">
        <f t="shared" si="8"/>
        <v/>
      </c>
      <c r="G174" s="341" t="str">
        <f t="shared" si="9"/>
        <v/>
      </c>
      <c r="H174" s="248"/>
      <c r="I174" s="247" t="str">
        <f>IFERROR(VLOOKUP($C174,Steps[],5,FALSE),"")</f>
        <v>A.k.a. calciner. Sub with continuous kiln at M/L scale</v>
      </c>
      <c r="J174" s="251"/>
    </row>
    <row r="175" spans="2:10" ht="16" hidden="1" customHeight="1" outlineLevel="1">
      <c r="B175" s="16"/>
      <c r="C175" s="69" t="s">
        <v>925</v>
      </c>
      <c r="D175" s="246">
        <v>1</v>
      </c>
      <c r="E175" s="342" t="str">
        <f>IF(ISBLANK(C175),"",IFERROR(IF(fnStepCostHourly=0,fnStepNotAvail,IF(ISBLANK(D175),"",fnStepCostHourly*$D175*VLOOKUP(BasisYear,ChemPPI[],14,FALSE)/VLOOKUP(2017,ChemPPI[],14,FALSE))),""))</f>
        <v/>
      </c>
      <c r="F175" s="342" t="str">
        <f t="shared" si="8"/>
        <v/>
      </c>
      <c r="G175" s="341" t="str">
        <f t="shared" si="9"/>
        <v/>
      </c>
      <c r="H175" s="248"/>
      <c r="I175" s="247" t="str">
        <f>IFERROR(VLOOKUP($C175,Steps[],5,FALSE),"")</f>
        <v>-</v>
      </c>
      <c r="J175" s="251"/>
    </row>
    <row r="176" spans="2:10" ht="16" hidden="1" customHeight="1" outlineLevel="1">
      <c r="B176" s="16"/>
      <c r="C176" s="69" t="s">
        <v>1075</v>
      </c>
      <c r="D176" s="246">
        <v>1</v>
      </c>
      <c r="E176" s="342" t="str">
        <f>IF(ISBLANK(C176),"",IFERROR(IF(fnStepCostHourly=0,fnStepNotAvail,IF(ISBLANK(D176),"",fnStepCostHourly*$D176*VLOOKUP(BasisYear,ChemPPI[],14,FALSE)/VLOOKUP(2017,ChemPPI[],14,FALSE))),""))</f>
        <v/>
      </c>
      <c r="F176" s="342" t="str">
        <f t="shared" si="8"/>
        <v/>
      </c>
      <c r="G176" s="341" t="str">
        <f t="shared" si="9"/>
        <v/>
      </c>
      <c r="H176" s="248"/>
      <c r="I176" s="247" t="str">
        <f>IFERROR(VLOOKUP($C176,Steps[],5,FALSE),"")</f>
        <v>For higher temp use kiln</v>
      </c>
      <c r="J176" s="251"/>
    </row>
    <row r="177" spans="1:10" ht="16" hidden="1" customHeight="1" outlineLevel="1">
      <c r="B177" s="16"/>
      <c r="C177" s="69"/>
      <c r="D177" s="246"/>
      <c r="E177" s="342" t="str">
        <f>IF(ISBLANK(C177),"",IFERROR(IF(fnStepCostHourly=0,fnStepNotAvail,IF(ISBLANK(D177),"",fnStepCostHourly*$D177*VLOOKUP(BasisYear,ChemPPI[],14,FALSE)/VLOOKUP(2017,ChemPPI[],14,FALSE))),""))</f>
        <v/>
      </c>
      <c r="F177" s="342" t="str">
        <f t="shared" si="8"/>
        <v/>
      </c>
      <c r="G177" s="341" t="str">
        <f t="shared" si="9"/>
        <v/>
      </c>
      <c r="H177" s="248"/>
      <c r="I177" s="247" t="str">
        <f>IFERROR(VLOOKUP($C177,Steps[],5,FALSE),"")</f>
        <v/>
      </c>
      <c r="J177" s="251"/>
    </row>
    <row r="178" spans="1:10" ht="16" hidden="1" customHeight="1" outlineLevel="1">
      <c r="B178" s="16"/>
      <c r="C178" s="69"/>
      <c r="D178" s="246"/>
      <c r="E178" s="342" t="str">
        <f>IF(ISBLANK(C178),"",IFERROR(IF(fnStepCostHourly=0,fnStepNotAvail,IF(ISBLANK(D178),"",fnStepCostHourly*$D178*VLOOKUP(BasisYear,ChemPPI[],14,FALSE)/VLOOKUP(2017,ChemPPI[],14,FALSE))),""))</f>
        <v/>
      </c>
      <c r="F178" s="342" t="str">
        <f t="shared" si="8"/>
        <v/>
      </c>
      <c r="G178" s="341" t="str">
        <f t="shared" si="9"/>
        <v/>
      </c>
      <c r="H178" s="248"/>
      <c r="I178" s="247" t="str">
        <f>IFERROR(VLOOKUP($C178,Steps[],5,FALSE),"")</f>
        <v/>
      </c>
      <c r="J178" s="251"/>
    </row>
    <row r="179" spans="1:10" ht="16" hidden="1" customHeight="1" outlineLevel="1">
      <c r="B179" s="16"/>
      <c r="C179" s="69"/>
      <c r="D179" s="246"/>
      <c r="E179" s="342" t="str">
        <f>IF(ISBLANK(C179),"",IFERROR(IF(fnStepCostHourly=0,fnStepNotAvail,IF(ISBLANK(D179),"",fnStepCostHourly*$D179*VLOOKUP(BasisYear,ChemPPI[],14,FALSE)/VLOOKUP(2017,ChemPPI[],14,FALSE))),""))</f>
        <v/>
      </c>
      <c r="F179" s="342" t="str">
        <f t="shared" si="8"/>
        <v/>
      </c>
      <c r="G179" s="341" t="str">
        <f t="shared" si="9"/>
        <v/>
      </c>
      <c r="H179" s="248"/>
      <c r="I179" s="247" t="str">
        <f>IFERROR(VLOOKUP($C179,Steps[],5,FALSE),"")</f>
        <v/>
      </c>
      <c r="J179" s="251"/>
    </row>
    <row r="180" spans="1:10" ht="16" hidden="1" customHeight="1" outlineLevel="1">
      <c r="B180" s="16"/>
      <c r="C180" s="69"/>
      <c r="D180" s="246"/>
      <c r="E180" s="342" t="str">
        <f>IF(ISBLANK(C180),"",IFERROR(IF(fnStepCostHourly=0,fnStepNotAvail,IF(ISBLANK(D180),"",fnStepCostHourly*$D180*VLOOKUP(BasisYear,ChemPPI[],14,FALSE)/VLOOKUP(2017,ChemPPI[],14,FALSE))),""))</f>
        <v/>
      </c>
      <c r="F180" s="342" t="str">
        <f t="shared" si="8"/>
        <v/>
      </c>
      <c r="G180" s="341" t="str">
        <f t="shared" si="9"/>
        <v/>
      </c>
      <c r="H180" s="248"/>
      <c r="I180" s="247" t="str">
        <f>IFERROR(VLOOKUP($C180,Steps[],5,FALSE),"")</f>
        <v/>
      </c>
      <c r="J180" s="251"/>
    </row>
    <row r="181" spans="1:10" ht="16" hidden="1" customHeight="1" outlineLevel="1">
      <c r="B181" s="16"/>
      <c r="C181" s="69"/>
      <c r="D181" s="246"/>
      <c r="E181" s="342" t="str">
        <f>IF(ISBLANK(C181),"",IFERROR(IF(fnStepCostHourly=0,fnStepNotAvail,IF(ISBLANK(D181),"",fnStepCostHourly*$D181*VLOOKUP(BasisYear,ChemPPI[],14,FALSE)/VLOOKUP(2017,ChemPPI[],14,FALSE))),""))</f>
        <v/>
      </c>
      <c r="F181" s="342" t="str">
        <f t="shared" si="8"/>
        <v/>
      </c>
      <c r="G181" s="341" t="str">
        <f t="shared" si="9"/>
        <v/>
      </c>
      <c r="H181" s="248"/>
      <c r="I181" s="247" t="str">
        <f>IFERROR(VLOOKUP($C181,Steps[],5,FALSE),"")</f>
        <v/>
      </c>
      <c r="J181" s="251"/>
    </row>
    <row r="182" spans="1:10" ht="16" hidden="1" customHeight="1" outlineLevel="1">
      <c r="B182" s="16"/>
      <c r="C182" s="69"/>
      <c r="D182" s="246"/>
      <c r="E182" s="342" t="str">
        <f>IF(ISBLANK(C182),"",IFERROR(IF(fnStepCostHourly=0,fnStepNotAvail,IF(ISBLANK(D182),"",fnStepCostHourly*$D182*VLOOKUP(BasisYear,ChemPPI[],14,FALSE)/VLOOKUP(2017,ChemPPI[],14,FALSE))),""))</f>
        <v/>
      </c>
      <c r="F182" s="342" t="str">
        <f t="shared" si="8"/>
        <v/>
      </c>
      <c r="G182" s="341" t="str">
        <f t="shared" si="9"/>
        <v/>
      </c>
      <c r="H182" s="248"/>
      <c r="I182" s="247" t="str">
        <f>IFERROR(VLOOKUP($C182,Steps[],5,FALSE),"")</f>
        <v/>
      </c>
      <c r="J182" s="251"/>
    </row>
    <row r="183" spans="1:10" ht="16" hidden="1" customHeight="1" outlineLevel="1">
      <c r="B183" s="16"/>
      <c r="C183" s="69"/>
      <c r="D183" s="246"/>
      <c r="E183" s="342" t="str">
        <f>IF(ISBLANK(C183),"",IFERROR(IF(fnStepCostHourly=0,fnStepNotAvail,IF(ISBLANK(D183),"",fnStepCostHourly*$D183*VLOOKUP(BasisYear,ChemPPI[],14,FALSE)/VLOOKUP(2017,ChemPPI[],14,FALSE))),""))</f>
        <v/>
      </c>
      <c r="F183" s="342" t="str">
        <f t="shared" si="8"/>
        <v/>
      </c>
      <c r="G183" s="341" t="str">
        <f t="shared" si="9"/>
        <v/>
      </c>
      <c r="H183" s="248"/>
      <c r="I183" s="247" t="str">
        <f>IFERROR(VLOOKUP($C183,Steps[],5,FALSE),"")</f>
        <v/>
      </c>
      <c r="J183" s="251"/>
    </row>
    <row r="184" spans="1:10" ht="17" hidden="1" outlineLevel="1" thickBot="1">
      <c r="B184" s="252"/>
      <c r="C184" s="253"/>
      <c r="D184" s="253"/>
      <c r="E184" s="253"/>
      <c r="F184" s="253"/>
      <c r="G184" s="253"/>
      <c r="H184" s="253"/>
      <c r="I184" s="253"/>
      <c r="J184" s="254"/>
    </row>
    <row r="185" spans="1:10" ht="17" collapsed="1" thickBot="1">
      <c r="A185" s="314" t="str">
        <f>"&lt;– show/hide "&amp;B153</f>
        <v>&lt;– show/hide Step Process Template: Metal Carbide on Metal Oxide</v>
      </c>
    </row>
    <row r="186" spans="1:10" ht="21" thickBot="1">
      <c r="B186" s="355" t="str">
        <f>"Step Process Template: "&amp;C189</f>
        <v>Step Process Template: Metal (Earth Abundant) on Metal Oxide</v>
      </c>
      <c r="C186" s="356"/>
      <c r="D186" s="356"/>
      <c r="E186" s="356"/>
      <c r="F186" s="356"/>
      <c r="G186" s="356"/>
      <c r="H186" s="357"/>
    </row>
    <row r="187" spans="1:10" hidden="1" outlineLevel="1">
      <c r="B187" s="13"/>
      <c r="C187" s="14"/>
      <c r="D187" s="14"/>
      <c r="E187" s="14"/>
      <c r="F187" s="14"/>
      <c r="G187" s="14"/>
      <c r="H187" s="15"/>
      <c r="J187" s="201"/>
    </row>
    <row r="188" spans="1:10" hidden="1" outlineLevel="1">
      <c r="B188" s="16"/>
      <c r="C188" s="17" t="s">
        <v>1055</v>
      </c>
      <c r="D188" s="256" t="s">
        <v>961</v>
      </c>
      <c r="E188" s="64" t="s">
        <v>953</v>
      </c>
      <c r="F188" s="64" t="s">
        <v>954</v>
      </c>
      <c r="G188" s="64" t="str">
        <f>"Cost ($/"&amp;OutMassUnit&amp;" catalyst)"</f>
        <v>Cost ($/lb catalyst)</v>
      </c>
      <c r="H188" s="250"/>
      <c r="J188" s="201"/>
    </row>
    <row r="189" spans="1:10" ht="16" hidden="1" customHeight="1" outlineLevel="1">
      <c r="B189" s="16"/>
      <c r="C189" s="18" t="s">
        <v>1103</v>
      </c>
      <c r="D189" s="256"/>
      <c r="E189" s="344">
        <f>SUM(E197:E216)</f>
        <v>0</v>
      </c>
      <c r="F189" s="344">
        <f>SUM(F197:F216)</f>
        <v>0</v>
      </c>
      <c r="G189" s="343">
        <f>SUM(G197:G216)</f>
        <v>0</v>
      </c>
      <c r="H189" s="336"/>
      <c r="J189" s="201"/>
    </row>
    <row r="190" spans="1:10" ht="16" hidden="1" customHeight="1" outlineLevel="1">
      <c r="B190" s="16"/>
      <c r="C190" s="353" t="str">
        <f>"Name: "&amp;C189</f>
        <v>Name: Metal (Earth Abundant) on Metal Oxide</v>
      </c>
      <c r="D190" s="256"/>
      <c r="E190" s="347"/>
      <c r="F190" s="347"/>
      <c r="G190" s="348"/>
      <c r="H190" s="336"/>
      <c r="J190" s="201"/>
    </row>
    <row r="191" spans="1:10" ht="16" hidden="1" customHeight="1" outlineLevel="1">
      <c r="B191" s="16"/>
      <c r="C191" s="17" t="s">
        <v>1070</v>
      </c>
      <c r="D191" s="256"/>
      <c r="E191" s="347"/>
      <c r="F191" s="347"/>
      <c r="G191" s="348"/>
      <c r="H191" s="336"/>
      <c r="J191" s="201"/>
    </row>
    <row r="192" spans="1:10" ht="16" hidden="1" customHeight="1" outlineLevel="1">
      <c r="B192" s="16"/>
      <c r="C192" s="18" t="s">
        <v>1104</v>
      </c>
      <c r="D192" s="256"/>
      <c r="E192" s="347"/>
      <c r="F192" s="347"/>
      <c r="G192" s="348"/>
      <c r="H192" s="336"/>
      <c r="J192" s="201"/>
    </row>
    <row r="193" spans="2:10" ht="16" hidden="1" customHeight="1" outlineLevel="1">
      <c r="B193" s="16"/>
      <c r="C193" s="18" t="s">
        <v>1073</v>
      </c>
      <c r="D193" s="256"/>
      <c r="E193" s="347"/>
      <c r="F193" s="347"/>
      <c r="G193" s="348"/>
      <c r="H193" s="336"/>
      <c r="J193" s="201"/>
    </row>
    <row r="194" spans="2:10" ht="17" hidden="1" outlineLevel="1" thickBot="1">
      <c r="B194" s="21"/>
      <c r="C194" s="22"/>
      <c r="D194" s="22"/>
      <c r="E194" s="22"/>
      <c r="F194" s="22"/>
      <c r="G194" s="22"/>
      <c r="H194" s="23"/>
      <c r="J194" s="201"/>
    </row>
    <row r="195" spans="2:10" ht="16" hidden="1" customHeight="1" outlineLevel="1">
      <c r="B195" s="16"/>
      <c r="C195" s="18"/>
      <c r="D195" s="18"/>
      <c r="E195" s="18"/>
      <c r="F195" s="18"/>
      <c r="G195" s="18"/>
      <c r="H195" s="18"/>
      <c r="I195" s="14"/>
      <c r="J195" s="15"/>
    </row>
    <row r="196" spans="2:10" ht="17" hidden="1" customHeight="1" outlineLevel="1">
      <c r="B196" s="16"/>
      <c r="C196" s="339" t="s">
        <v>937</v>
      </c>
      <c r="D196" s="339" t="s">
        <v>309</v>
      </c>
      <c r="E196" s="339" t="s">
        <v>953</v>
      </c>
      <c r="F196" s="339" t="s">
        <v>954</v>
      </c>
      <c r="G196" s="339" t="str">
        <f>"Cost ($/"&amp;OutMassUnit&amp;" catalyst)"</f>
        <v>Cost ($/lb catalyst)</v>
      </c>
      <c r="H196" s="339"/>
      <c r="I196" s="339" t="s">
        <v>207</v>
      </c>
      <c r="J196" s="250"/>
    </row>
    <row r="197" spans="2:10" ht="16" hidden="1" customHeight="1" outlineLevel="1">
      <c r="B197" s="16"/>
      <c r="C197" s="69" t="s">
        <v>923</v>
      </c>
      <c r="D197" s="246">
        <v>1</v>
      </c>
      <c r="E197" s="342" t="str">
        <f>IF(ISBLANK(C197),"",IFERROR(IF(fnStepCostHourly=0,fnStepNotAvail,IF(ISBLANK(D197),"",fnStepCostHourly*$D197*VLOOKUP(BasisYear,ChemPPI[],14,FALSE)/VLOOKUP(2017,ChemPPI[],14,FALSE))),""))</f>
        <v/>
      </c>
      <c r="F197" s="342" t="str">
        <f t="shared" ref="F197:F216" si="10">IFERROR($E197*$D$9*24,$E197)</f>
        <v/>
      </c>
      <c r="G197" s="341" t="str">
        <f t="shared" ref="G197:G216" si="11">IFERROR($F197/$D$7,$F197)</f>
        <v/>
      </c>
      <c r="H197" s="248"/>
      <c r="I197" s="247" t="str">
        <f>IFERROR(VLOOKUP($C197,Steps[],5,FALSE),"")</f>
        <v>-</v>
      </c>
      <c r="J197" s="251"/>
    </row>
    <row r="198" spans="2:10" ht="16" hidden="1" customHeight="1" outlineLevel="1">
      <c r="B198" s="16"/>
      <c r="C198" s="69" t="s">
        <v>1076</v>
      </c>
      <c r="D198" s="246">
        <v>1</v>
      </c>
      <c r="E198" s="342" t="str">
        <f>IF(ISBLANK(C198),"",IFERROR(IF(fnStepCostHourly=0,fnStepNotAvail,IF(ISBLANK(D198),"",fnStepCostHourly*$D198*VLOOKUP(BasisYear,ChemPPI[],14,FALSE)/VLOOKUP(2017,ChemPPI[],14,FALSE))),""))</f>
        <v/>
      </c>
      <c r="F198" s="342" t="str">
        <f t="shared" si="10"/>
        <v/>
      </c>
      <c r="G198" s="341" t="str">
        <f t="shared" si="11"/>
        <v/>
      </c>
      <c r="H198" s="248"/>
      <c r="I198" s="247" t="str">
        <f>IFERROR(VLOOKUP($C198,Steps[],5,FALSE),"")</f>
        <v>-</v>
      </c>
      <c r="J198" s="251"/>
    </row>
    <row r="199" spans="2:10" ht="16" hidden="1" customHeight="1" outlineLevel="1">
      <c r="B199" s="16"/>
      <c r="C199" s="349" t="s">
        <v>946</v>
      </c>
      <c r="D199" s="350">
        <f>1*IF($D$6&lt;5,0,IF($D$6&lt;70,1,1))</f>
        <v>1</v>
      </c>
      <c r="E199" s="342" t="str">
        <f>IF(ISBLANK(C199),"",IFERROR(IF(fnStepCostHourly=0,fnStepNotAvail,IF(ISBLANK(D199),"",fnStepCostHourly*$D199*VLOOKUP(BasisYear,ChemPPI[],14,FALSE)/VLOOKUP(2017,ChemPPI[],14,FALSE))),""))</f>
        <v/>
      </c>
      <c r="F199" s="342" t="str">
        <f t="shared" si="10"/>
        <v/>
      </c>
      <c r="G199" s="341" t="str">
        <f t="shared" si="11"/>
        <v/>
      </c>
      <c r="H199" s="248"/>
      <c r="I199" s="247" t="str">
        <f>IFERROR(VLOOKUP($C199,Steps[],5,FALSE),"")</f>
        <v>A.k.a. calciner. Sub with batch kiln at small scale</v>
      </c>
      <c r="J199" s="251"/>
    </row>
    <row r="200" spans="2:10" ht="16" hidden="1" customHeight="1" outlineLevel="1">
      <c r="B200" s="16"/>
      <c r="C200" s="349" t="s">
        <v>948</v>
      </c>
      <c r="D200" s="350">
        <f>1*IF($D$6&lt;5,1,IF($D$6&lt;70,0,0))</f>
        <v>0</v>
      </c>
      <c r="E200" s="342" t="str">
        <f>IF(ISBLANK(C200),"",IFERROR(IF(fnStepCostHourly=0,fnStepNotAvail,IF(ISBLANK(D200),"",fnStepCostHourly*$D200*VLOOKUP(BasisYear,ChemPPI[],14,FALSE)/VLOOKUP(2017,ChemPPI[],14,FALSE))),""))</f>
        <v/>
      </c>
      <c r="F200" s="342" t="str">
        <f t="shared" si="10"/>
        <v/>
      </c>
      <c r="G200" s="341" t="str">
        <f t="shared" si="11"/>
        <v/>
      </c>
      <c r="H200" s="248"/>
      <c r="I200" s="247" t="str">
        <f>IFERROR(VLOOKUP($C200,Steps[],5,FALSE),"")</f>
        <v>A.k.a. calciner. Sub with continuous kiln at M/L scale</v>
      </c>
      <c r="J200" s="251"/>
    </row>
    <row r="201" spans="2:10" ht="16" hidden="1" customHeight="1" outlineLevel="1">
      <c r="B201" s="16"/>
      <c r="C201" s="69" t="s">
        <v>939</v>
      </c>
      <c r="D201" s="246">
        <v>1</v>
      </c>
      <c r="E201" s="342" t="str">
        <f>IF(ISBLANK(C201),"",IFERROR(IF(fnStepCostHourly=0,fnStepNotAvail,IF(ISBLANK(D201),"",fnStepCostHourly*$D201*VLOOKUP(BasisYear,ChemPPI[],14,FALSE)/VLOOKUP(2017,ChemPPI[],14,FALSE))),""))</f>
        <v/>
      </c>
      <c r="F201" s="342" t="str">
        <f t="shared" si="10"/>
        <v/>
      </c>
      <c r="G201" s="341" t="str">
        <f t="shared" si="11"/>
        <v/>
      </c>
      <c r="H201" s="248"/>
      <c r="I201" s="247" t="str">
        <f>IFERROR(VLOOKUP($C201,Steps[],5,FALSE),"")</f>
        <v>-</v>
      </c>
      <c r="J201" s="251"/>
    </row>
    <row r="202" spans="2:10" ht="16" hidden="1" customHeight="1" outlineLevel="1">
      <c r="B202" s="16"/>
      <c r="C202" s="69" t="s">
        <v>924</v>
      </c>
      <c r="D202" s="246">
        <v>1</v>
      </c>
      <c r="E202" s="342" t="str">
        <f>IF(ISBLANK(C202),"",IFERROR(IF(fnStepCostHourly=0,fnStepNotAvail,IF(ISBLANK(D202),"",fnStepCostHourly*$D202*VLOOKUP(BasisYear,ChemPPI[],14,FALSE)/VLOOKUP(2017,ChemPPI[],14,FALSE))),""))</f>
        <v/>
      </c>
      <c r="F202" s="342" t="str">
        <f t="shared" si="10"/>
        <v/>
      </c>
      <c r="G202" s="341" t="str">
        <f t="shared" si="11"/>
        <v/>
      </c>
      <c r="H202" s="248"/>
      <c r="I202" s="247" t="str">
        <f>IFERROR(VLOOKUP($C202,Steps[],5,FALSE),"")</f>
        <v>-</v>
      </c>
      <c r="J202" s="251"/>
    </row>
    <row r="203" spans="2:10" ht="16" hidden="1" customHeight="1" outlineLevel="1">
      <c r="B203" s="16"/>
      <c r="C203" s="349" t="s">
        <v>926</v>
      </c>
      <c r="D203" s="350">
        <f>1*IF($D$6&lt;5,0,IF($D$6&lt;70,1,1))</f>
        <v>1</v>
      </c>
      <c r="E203" s="342" t="str">
        <f>IF(ISBLANK(C203),"",IFERROR(IF(fnStepCostHourly=0,fnStepNotAvail,IF(ISBLANK(D203),"",fnStepCostHourly*$D203*VLOOKUP(BasisYear,ChemPPI[],14,FALSE)/VLOOKUP(2017,ChemPPI[],14,FALSE))),""))</f>
        <v/>
      </c>
      <c r="F203" s="342" t="str">
        <f t="shared" si="10"/>
        <v/>
      </c>
      <c r="G203" s="341" t="str">
        <f t="shared" si="11"/>
        <v/>
      </c>
      <c r="H203" s="248"/>
      <c r="I203" s="247" t="str">
        <f>IFERROR(VLOOKUP($C203,Steps[],5,FALSE),"")</f>
        <v>Substitute with plate and frame at small scale</v>
      </c>
      <c r="J203" s="251"/>
    </row>
    <row r="204" spans="2:10" ht="16" hidden="1" customHeight="1" outlineLevel="1">
      <c r="B204" s="16"/>
      <c r="C204" s="349" t="s">
        <v>928</v>
      </c>
      <c r="D204" s="350">
        <f>1*IF($D$6&lt;5,1,IF($D$6&lt;70,0,0))</f>
        <v>0</v>
      </c>
      <c r="E204" s="342" t="str">
        <f>IF(ISBLANK(C204),"",IFERROR(IF(fnStepCostHourly=0,fnStepNotAvail,IF(ISBLANK(D204),"",fnStepCostHourly*$D204*VLOOKUP(BasisYear,ChemPPI[],14,FALSE)/VLOOKUP(2017,ChemPPI[],14,FALSE))),""))</f>
        <v/>
      </c>
      <c r="F204" s="342" t="str">
        <f t="shared" si="10"/>
        <v/>
      </c>
      <c r="G204" s="341" t="str">
        <f t="shared" si="11"/>
        <v/>
      </c>
      <c r="H204" s="248"/>
      <c r="I204" s="247" t="str">
        <f>IFERROR(VLOOKUP($C204,Steps[],5,FALSE),"")</f>
        <v>Substitute with belt or rotary vacuum at M/L scale</v>
      </c>
      <c r="J204" s="251"/>
    </row>
    <row r="205" spans="2:10" ht="16" hidden="1" customHeight="1" outlineLevel="1">
      <c r="B205" s="16"/>
      <c r="C205" s="69" t="s">
        <v>1076</v>
      </c>
      <c r="D205" s="246">
        <v>1</v>
      </c>
      <c r="E205" s="342" t="str">
        <f>IF(ISBLANK(C205),"",IFERROR(IF(fnStepCostHourly=0,fnStepNotAvail,IF(ISBLANK(D205),"",fnStepCostHourly*$D205*VLOOKUP(BasisYear,ChemPPI[],14,FALSE)/VLOOKUP(2017,ChemPPI[],14,FALSE))),""))</f>
        <v/>
      </c>
      <c r="F205" s="342" t="str">
        <f t="shared" si="10"/>
        <v/>
      </c>
      <c r="G205" s="341" t="str">
        <f t="shared" si="11"/>
        <v/>
      </c>
      <c r="H205" s="248"/>
      <c r="I205" s="247" t="str">
        <f>IFERROR(VLOOKUP($C205,Steps[],5,FALSE),"")</f>
        <v>-</v>
      </c>
      <c r="J205" s="251"/>
    </row>
    <row r="206" spans="2:10" ht="16" hidden="1" customHeight="1" outlineLevel="1">
      <c r="B206" s="16"/>
      <c r="C206" s="349" t="s">
        <v>946</v>
      </c>
      <c r="D206" s="350">
        <f>2*IF($D$6&lt;5,0,IF($D$6&lt;70,1,1))</f>
        <v>2</v>
      </c>
      <c r="E206" s="342" t="str">
        <f>IF(ISBLANK(C206),"",IFERROR(IF(fnStepCostHourly=0,fnStepNotAvail,IF(ISBLANK(D206),"",fnStepCostHourly*$D206*VLOOKUP(BasisYear,ChemPPI[],14,FALSE)/VLOOKUP(2017,ChemPPI[],14,FALSE))),""))</f>
        <v/>
      </c>
      <c r="F206" s="342" t="str">
        <f t="shared" si="10"/>
        <v/>
      </c>
      <c r="G206" s="341" t="str">
        <f t="shared" si="11"/>
        <v/>
      </c>
      <c r="H206" s="248"/>
      <c r="I206" s="247" t="str">
        <f>IFERROR(VLOOKUP($C206,Steps[],5,FALSE),"")</f>
        <v>A.k.a. calciner. Sub with batch kiln at small scale</v>
      </c>
      <c r="J206" s="251"/>
    </row>
    <row r="207" spans="2:10" ht="16" hidden="1" customHeight="1" outlineLevel="1">
      <c r="B207" s="16"/>
      <c r="C207" s="349" t="s">
        <v>948</v>
      </c>
      <c r="D207" s="350">
        <f>2*IF($D$6&lt;5,1,IF($D$6&lt;70,0,0))</f>
        <v>0</v>
      </c>
      <c r="E207" s="342" t="str">
        <f>IF(ISBLANK(C207),"",IFERROR(IF(fnStepCostHourly=0,fnStepNotAvail,IF(ISBLANK(D207),"",fnStepCostHourly*$D207*VLOOKUP(BasisYear,ChemPPI[],14,FALSE)/VLOOKUP(2017,ChemPPI[],14,FALSE))),""))</f>
        <v/>
      </c>
      <c r="F207" s="342" t="str">
        <f t="shared" si="10"/>
        <v/>
      </c>
      <c r="G207" s="341" t="str">
        <f t="shared" si="11"/>
        <v/>
      </c>
      <c r="H207" s="248"/>
      <c r="I207" s="247" t="str">
        <f>IFERROR(VLOOKUP($C207,Steps[],5,FALSE),"")</f>
        <v>A.k.a. calciner. Sub with continuous kiln at M/L scale</v>
      </c>
      <c r="J207" s="251"/>
    </row>
    <row r="208" spans="2:10" ht="16" hidden="1" customHeight="1" outlineLevel="1">
      <c r="B208" s="16"/>
      <c r="C208" s="69"/>
      <c r="D208" s="246"/>
      <c r="E208" s="342" t="str">
        <f>IF(ISBLANK(C208),"",IFERROR(IF(fnStepCostHourly=0,fnStepNotAvail,IF(ISBLANK(D208),"",fnStepCostHourly*$D208*VLOOKUP(BasisYear,ChemPPI[],14,FALSE)/VLOOKUP(2017,ChemPPI[],14,FALSE))),""))</f>
        <v/>
      </c>
      <c r="F208" s="342" t="str">
        <f t="shared" si="10"/>
        <v/>
      </c>
      <c r="G208" s="341" t="str">
        <f t="shared" si="11"/>
        <v/>
      </c>
      <c r="H208" s="248"/>
      <c r="I208" s="247" t="str">
        <f>IFERROR(VLOOKUP($C208,Steps[],5,FALSE),"")</f>
        <v/>
      </c>
      <c r="J208" s="251"/>
    </row>
    <row r="209" spans="1:10" ht="16" hidden="1" customHeight="1" outlineLevel="1">
      <c r="B209" s="16"/>
      <c r="C209" s="69"/>
      <c r="D209" s="246"/>
      <c r="E209" s="342" t="str">
        <f>IF(ISBLANK(C209),"",IFERROR(IF(fnStepCostHourly=0,fnStepNotAvail,IF(ISBLANK(D209),"",fnStepCostHourly*$D209*VLOOKUP(BasisYear,ChemPPI[],14,FALSE)/VLOOKUP(2017,ChemPPI[],14,FALSE))),""))</f>
        <v/>
      </c>
      <c r="F209" s="342" t="str">
        <f t="shared" si="10"/>
        <v/>
      </c>
      <c r="G209" s="341" t="str">
        <f t="shared" si="11"/>
        <v/>
      </c>
      <c r="H209" s="248"/>
      <c r="I209" s="247" t="str">
        <f>IFERROR(VLOOKUP($C209,Steps[],5,FALSE),"")</f>
        <v/>
      </c>
      <c r="J209" s="251"/>
    </row>
    <row r="210" spans="1:10" ht="16" hidden="1" customHeight="1" outlineLevel="1">
      <c r="B210" s="16"/>
      <c r="C210" s="69"/>
      <c r="D210" s="246"/>
      <c r="E210" s="342" t="str">
        <f>IF(ISBLANK(C210),"",IFERROR(IF(fnStepCostHourly=0,fnStepNotAvail,IF(ISBLANK(D210),"",fnStepCostHourly*$D210*VLOOKUP(BasisYear,ChemPPI[],14,FALSE)/VLOOKUP(2017,ChemPPI[],14,FALSE))),""))</f>
        <v/>
      </c>
      <c r="F210" s="342" t="str">
        <f t="shared" si="10"/>
        <v/>
      </c>
      <c r="G210" s="341" t="str">
        <f t="shared" si="11"/>
        <v/>
      </c>
      <c r="H210" s="248"/>
      <c r="I210" s="247" t="str">
        <f>IFERROR(VLOOKUP($C210,Steps[],5,FALSE),"")</f>
        <v/>
      </c>
      <c r="J210" s="251"/>
    </row>
    <row r="211" spans="1:10" ht="16" hidden="1" customHeight="1" outlineLevel="1">
      <c r="B211" s="16"/>
      <c r="C211" s="69"/>
      <c r="D211" s="246"/>
      <c r="E211" s="342" t="str">
        <f>IF(ISBLANK(C211),"",IFERROR(IF(fnStepCostHourly=0,fnStepNotAvail,IF(ISBLANK(D211),"",fnStepCostHourly*$D211*VLOOKUP(BasisYear,ChemPPI[],14,FALSE)/VLOOKUP(2017,ChemPPI[],14,FALSE))),""))</f>
        <v/>
      </c>
      <c r="F211" s="342" t="str">
        <f t="shared" si="10"/>
        <v/>
      </c>
      <c r="G211" s="341" t="str">
        <f t="shared" si="11"/>
        <v/>
      </c>
      <c r="H211" s="248"/>
      <c r="I211" s="247" t="str">
        <f>IFERROR(VLOOKUP($C211,Steps[],5,FALSE),"")</f>
        <v/>
      </c>
      <c r="J211" s="251"/>
    </row>
    <row r="212" spans="1:10" ht="16" hidden="1" customHeight="1" outlineLevel="1">
      <c r="B212" s="16"/>
      <c r="C212" s="69"/>
      <c r="D212" s="246"/>
      <c r="E212" s="342" t="str">
        <f>IF(ISBLANK(C212),"",IFERROR(IF(fnStepCostHourly=0,fnStepNotAvail,IF(ISBLANK(D212),"",fnStepCostHourly*$D212*VLOOKUP(BasisYear,ChemPPI[],14,FALSE)/VLOOKUP(2017,ChemPPI[],14,FALSE))),""))</f>
        <v/>
      </c>
      <c r="F212" s="342" t="str">
        <f t="shared" si="10"/>
        <v/>
      </c>
      <c r="G212" s="341" t="str">
        <f t="shared" si="11"/>
        <v/>
      </c>
      <c r="H212" s="248"/>
      <c r="I212" s="247" t="str">
        <f>IFERROR(VLOOKUP($C212,Steps[],5,FALSE),"")</f>
        <v/>
      </c>
      <c r="J212" s="251"/>
    </row>
    <row r="213" spans="1:10" ht="16" hidden="1" customHeight="1" outlineLevel="1">
      <c r="B213" s="16"/>
      <c r="C213" s="69"/>
      <c r="D213" s="246"/>
      <c r="E213" s="342" t="str">
        <f>IF(ISBLANK(C213),"",IFERROR(IF(fnStepCostHourly=0,fnStepNotAvail,IF(ISBLANK(D213),"",fnStepCostHourly*$D213*VLOOKUP(BasisYear,ChemPPI[],14,FALSE)/VLOOKUP(2017,ChemPPI[],14,FALSE))),""))</f>
        <v/>
      </c>
      <c r="F213" s="342" t="str">
        <f t="shared" si="10"/>
        <v/>
      </c>
      <c r="G213" s="341" t="str">
        <f t="shared" si="11"/>
        <v/>
      </c>
      <c r="H213" s="248"/>
      <c r="I213" s="247" t="str">
        <f>IFERROR(VLOOKUP($C213,Steps[],5,FALSE),"")</f>
        <v/>
      </c>
      <c r="J213" s="251"/>
    </row>
    <row r="214" spans="1:10" ht="16" hidden="1" customHeight="1" outlineLevel="1">
      <c r="B214" s="16"/>
      <c r="C214" s="69"/>
      <c r="D214" s="246"/>
      <c r="E214" s="342" t="str">
        <f>IF(ISBLANK(C214),"",IFERROR(IF(fnStepCostHourly=0,fnStepNotAvail,IF(ISBLANK(D214),"",fnStepCostHourly*$D214*VLOOKUP(BasisYear,ChemPPI[],14,FALSE)/VLOOKUP(2017,ChemPPI[],14,FALSE))),""))</f>
        <v/>
      </c>
      <c r="F214" s="342" t="str">
        <f t="shared" si="10"/>
        <v/>
      </c>
      <c r="G214" s="341" t="str">
        <f t="shared" si="11"/>
        <v/>
      </c>
      <c r="H214" s="248"/>
      <c r="I214" s="247" t="str">
        <f>IFERROR(VLOOKUP($C214,Steps[],5,FALSE),"")</f>
        <v/>
      </c>
      <c r="J214" s="251"/>
    </row>
    <row r="215" spans="1:10" ht="16" hidden="1" customHeight="1" outlineLevel="1">
      <c r="B215" s="16"/>
      <c r="C215" s="69"/>
      <c r="D215" s="246"/>
      <c r="E215" s="342" t="str">
        <f>IF(ISBLANK(C215),"",IFERROR(IF(fnStepCostHourly=0,fnStepNotAvail,IF(ISBLANK(D215),"",fnStepCostHourly*$D215*VLOOKUP(BasisYear,ChemPPI[],14,FALSE)/VLOOKUP(2017,ChemPPI[],14,FALSE))),""))</f>
        <v/>
      </c>
      <c r="F215" s="342" t="str">
        <f t="shared" si="10"/>
        <v/>
      </c>
      <c r="G215" s="341" t="str">
        <f t="shared" si="11"/>
        <v/>
      </c>
      <c r="H215" s="248"/>
      <c r="I215" s="247" t="str">
        <f>IFERROR(VLOOKUP($C215,Steps[],5,FALSE),"")</f>
        <v/>
      </c>
      <c r="J215" s="251"/>
    </row>
    <row r="216" spans="1:10" ht="16" hidden="1" customHeight="1" outlineLevel="1">
      <c r="B216" s="16"/>
      <c r="C216" s="69"/>
      <c r="D216" s="246"/>
      <c r="E216" s="342" t="str">
        <f>IF(ISBLANK(C216),"",IFERROR(IF(fnStepCostHourly=0,fnStepNotAvail,IF(ISBLANK(D216),"",fnStepCostHourly*$D216*VLOOKUP(BasisYear,ChemPPI[],14,FALSE)/VLOOKUP(2017,ChemPPI[],14,FALSE))),""))</f>
        <v/>
      </c>
      <c r="F216" s="342" t="str">
        <f t="shared" si="10"/>
        <v/>
      </c>
      <c r="G216" s="341" t="str">
        <f t="shared" si="11"/>
        <v/>
      </c>
      <c r="H216" s="248"/>
      <c r="I216" s="247" t="str">
        <f>IFERROR(VLOOKUP($C216,Steps[],5,FALSE),"")</f>
        <v/>
      </c>
      <c r="J216" s="251"/>
    </row>
    <row r="217" spans="1:10" ht="17" hidden="1" outlineLevel="1" thickBot="1">
      <c r="B217" s="252"/>
      <c r="C217" s="253"/>
      <c r="D217" s="253"/>
      <c r="E217" s="253"/>
      <c r="F217" s="253"/>
      <c r="G217" s="253"/>
      <c r="H217" s="253"/>
      <c r="I217" s="253"/>
      <c r="J217" s="254"/>
    </row>
    <row r="218" spans="1:10" ht="17" collapsed="1" thickBot="1">
      <c r="A218" s="314" t="str">
        <f>"&lt;– show/hide "&amp;B186</f>
        <v>&lt;– show/hide Step Process Template: Metal (Earth Abundant) on Metal Oxide</v>
      </c>
    </row>
    <row r="219" spans="1:10" ht="21" thickBot="1">
      <c r="B219" s="355" t="str">
        <f>"Step Process Template: "&amp;C222</f>
        <v>Step Process Template: Metal (PGM) on Carbon</v>
      </c>
      <c r="C219" s="356"/>
      <c r="D219" s="356"/>
      <c r="E219" s="356"/>
      <c r="F219" s="356"/>
      <c r="G219" s="356"/>
      <c r="H219" s="357"/>
    </row>
    <row r="220" spans="1:10" hidden="1" outlineLevel="1">
      <c r="B220" s="13"/>
      <c r="C220" s="14"/>
      <c r="D220" s="14"/>
      <c r="E220" s="14"/>
      <c r="F220" s="14"/>
      <c r="G220" s="14"/>
      <c r="H220" s="15"/>
      <c r="J220" s="201"/>
    </row>
    <row r="221" spans="1:10" hidden="1" outlineLevel="1">
      <c r="B221" s="16"/>
      <c r="C221" s="17" t="s">
        <v>1055</v>
      </c>
      <c r="D221" s="256" t="s">
        <v>961</v>
      </c>
      <c r="E221" s="64" t="s">
        <v>953</v>
      </c>
      <c r="F221" s="64" t="s">
        <v>954</v>
      </c>
      <c r="G221" s="64" t="str">
        <f>"Cost ($/"&amp;OutMassUnit&amp;" catalyst)"</f>
        <v>Cost ($/lb catalyst)</v>
      </c>
      <c r="H221" s="250"/>
      <c r="J221" s="201"/>
    </row>
    <row r="222" spans="1:10" ht="16" hidden="1" customHeight="1" outlineLevel="1">
      <c r="B222" s="16"/>
      <c r="C222" s="18" t="s">
        <v>1101</v>
      </c>
      <c r="D222" s="256"/>
      <c r="E222" s="344">
        <f>SUM(E230:E249)</f>
        <v>0</v>
      </c>
      <c r="F222" s="344">
        <f>SUM(F230:F249)</f>
        <v>0</v>
      </c>
      <c r="G222" s="343">
        <f>SUM(G230:G249)</f>
        <v>0</v>
      </c>
      <c r="H222" s="336"/>
      <c r="J222" s="201"/>
    </row>
    <row r="223" spans="1:10" ht="16" hidden="1" customHeight="1" outlineLevel="1">
      <c r="B223" s="16"/>
      <c r="C223" s="353" t="str">
        <f>"Name: "&amp;C222</f>
        <v>Name: Metal (PGM) on Carbon</v>
      </c>
      <c r="D223" s="256"/>
      <c r="E223" s="347"/>
      <c r="F223" s="347"/>
      <c r="G223" s="348"/>
      <c r="H223" s="336"/>
      <c r="J223" s="201"/>
    </row>
    <row r="224" spans="1:10" ht="16" hidden="1" customHeight="1" outlineLevel="1">
      <c r="B224" s="16"/>
      <c r="C224" s="17" t="s">
        <v>1070</v>
      </c>
      <c r="D224" s="256"/>
      <c r="E224" s="347"/>
      <c r="F224" s="347"/>
      <c r="G224" s="348"/>
      <c r="H224" s="336"/>
      <c r="J224" s="201"/>
    </row>
    <row r="225" spans="2:10" ht="16" hidden="1" customHeight="1" outlineLevel="1">
      <c r="B225" s="16"/>
      <c r="C225" s="18" t="s">
        <v>1102</v>
      </c>
      <c r="D225" s="256"/>
      <c r="E225" s="347"/>
      <c r="F225" s="347"/>
      <c r="G225" s="348"/>
      <c r="H225" s="336"/>
      <c r="J225" s="201"/>
    </row>
    <row r="226" spans="2:10" ht="16" hidden="1" customHeight="1" outlineLevel="1">
      <c r="B226" s="16"/>
      <c r="C226" s="18" t="s">
        <v>1073</v>
      </c>
      <c r="D226" s="256"/>
      <c r="E226" s="347"/>
      <c r="F226" s="347"/>
      <c r="G226" s="348"/>
      <c r="H226" s="336"/>
      <c r="J226" s="201"/>
    </row>
    <row r="227" spans="2:10" ht="17" hidden="1" outlineLevel="1" thickBot="1">
      <c r="B227" s="21"/>
      <c r="C227" s="22"/>
      <c r="D227" s="22"/>
      <c r="E227" s="22"/>
      <c r="F227" s="22"/>
      <c r="G227" s="22"/>
      <c r="H227" s="23"/>
      <c r="J227" s="201"/>
    </row>
    <row r="228" spans="2:10" ht="16" hidden="1" customHeight="1" outlineLevel="1">
      <c r="B228" s="16"/>
      <c r="C228" s="18"/>
      <c r="D228" s="18"/>
      <c r="E228" s="18"/>
      <c r="F228" s="18"/>
      <c r="G228" s="18"/>
      <c r="H228" s="18"/>
      <c r="I228" s="14"/>
      <c r="J228" s="15"/>
    </row>
    <row r="229" spans="2:10" ht="17" hidden="1" customHeight="1" outlineLevel="1">
      <c r="B229" s="16"/>
      <c r="C229" s="339" t="s">
        <v>937</v>
      </c>
      <c r="D229" s="339" t="s">
        <v>309</v>
      </c>
      <c r="E229" s="339" t="s">
        <v>953</v>
      </c>
      <c r="F229" s="339" t="s">
        <v>954</v>
      </c>
      <c r="G229" s="339" t="str">
        <f>"Cost ($/"&amp;OutMassUnit&amp;" catalyst)"</f>
        <v>Cost ($/lb catalyst)</v>
      </c>
      <c r="H229" s="339"/>
      <c r="I229" s="339" t="s">
        <v>207</v>
      </c>
      <c r="J229" s="250"/>
    </row>
    <row r="230" spans="2:10" ht="16" hidden="1" customHeight="1" outlineLevel="1">
      <c r="B230" s="16"/>
      <c r="C230" s="69" t="s">
        <v>923</v>
      </c>
      <c r="D230" s="246">
        <v>1</v>
      </c>
      <c r="E230" s="342" t="str">
        <f>IF(ISBLANK(C230),"",IFERROR(IF(fnStepCostHourly=0,fnStepNotAvail,IF(ISBLANK(D230),"",fnStepCostHourly*$D230*VLOOKUP(BasisYear,ChemPPI[],14,FALSE)/VLOOKUP(2017,ChemPPI[],14,FALSE))),""))</f>
        <v/>
      </c>
      <c r="F230" s="342" t="str">
        <f t="shared" ref="F230:F249" si="12">IFERROR($E230*$D$9*24,$E230)</f>
        <v/>
      </c>
      <c r="G230" s="341" t="str">
        <f t="shared" ref="G230:G249" si="13">IFERROR($F230/$D$7,$F230)</f>
        <v/>
      </c>
      <c r="H230" s="248"/>
      <c r="I230" s="247" t="str">
        <f>IFERROR(VLOOKUP($C230,Steps[],5,FALSE),"")</f>
        <v>-</v>
      </c>
      <c r="J230" s="251"/>
    </row>
    <row r="231" spans="2:10" ht="16" hidden="1" customHeight="1" outlineLevel="1">
      <c r="B231" s="16"/>
      <c r="C231" s="69" t="s">
        <v>932</v>
      </c>
      <c r="D231" s="246">
        <v>1</v>
      </c>
      <c r="E231" s="342" t="str">
        <f>IF(ISBLANK(C231),"",IFERROR(IF(fnStepCostHourly=0,fnStepNotAvail,IF(ISBLANK(D231),"",fnStepCostHourly*$D231*VLOOKUP(BasisYear,ChemPPI[],14,FALSE)/VLOOKUP(2017,ChemPPI[],14,FALSE))),""))</f>
        <v/>
      </c>
      <c r="F231" s="342" t="str">
        <f t="shared" si="12"/>
        <v/>
      </c>
      <c r="G231" s="341" t="str">
        <f t="shared" si="13"/>
        <v/>
      </c>
      <c r="H231" s="248"/>
      <c r="I231" s="247" t="str">
        <f>IFERROR(VLOOKUP($C231,Steps[],5,FALSE),"")</f>
        <v>-</v>
      </c>
      <c r="J231" s="251"/>
    </row>
    <row r="232" spans="2:10" ht="16" hidden="1" customHeight="1" outlineLevel="1">
      <c r="B232" s="16"/>
      <c r="C232" s="69" t="s">
        <v>939</v>
      </c>
      <c r="D232" s="246">
        <v>1</v>
      </c>
      <c r="E232" s="342" t="str">
        <f>IF(ISBLANK(C232),"",IFERROR(IF(fnStepCostHourly=0,fnStepNotAvail,IF(ISBLANK(D232),"",fnStepCostHourly*$D232*VLOOKUP(BasisYear,ChemPPI[],14,FALSE)/VLOOKUP(2017,ChemPPI[],14,FALSE))),""))</f>
        <v/>
      </c>
      <c r="F232" s="342" t="str">
        <f t="shared" si="12"/>
        <v/>
      </c>
      <c r="G232" s="341" t="str">
        <f t="shared" si="13"/>
        <v/>
      </c>
      <c r="H232" s="248"/>
      <c r="I232" s="247" t="str">
        <f>IFERROR(VLOOKUP($C232,Steps[],5,FALSE),"")</f>
        <v>-</v>
      </c>
      <c r="J232" s="251"/>
    </row>
    <row r="233" spans="2:10" ht="16" hidden="1" customHeight="1" outlineLevel="1">
      <c r="B233" s="16"/>
      <c r="C233" s="349" t="s">
        <v>928</v>
      </c>
      <c r="D233" s="350">
        <f>1*IF($D$6&lt;5,1,IF($D$6&lt;70,0,0))</f>
        <v>0</v>
      </c>
      <c r="E233" s="342" t="str">
        <f>IF(ISBLANK(C233),"",IFERROR(IF(fnStepCostHourly=0,fnStepNotAvail,IF(ISBLANK(D233),"",fnStepCostHourly*$D233*VLOOKUP(BasisYear,ChemPPI[],14,FALSE)/VLOOKUP(2017,ChemPPI[],14,FALSE))),""))</f>
        <v/>
      </c>
      <c r="F233" s="342" t="str">
        <f t="shared" si="12"/>
        <v/>
      </c>
      <c r="G233" s="341" t="str">
        <f t="shared" si="13"/>
        <v/>
      </c>
      <c r="H233" s="248"/>
      <c r="I233" s="247" t="str">
        <f>IFERROR(VLOOKUP($C233,Steps[],5,FALSE),"")</f>
        <v>Substitute with belt or rotary vacuum at M/L scale</v>
      </c>
      <c r="J233" s="251"/>
    </row>
    <row r="234" spans="2:10" ht="16" hidden="1" customHeight="1" outlineLevel="1">
      <c r="B234" s="16"/>
      <c r="C234" s="349" t="s">
        <v>926</v>
      </c>
      <c r="D234" s="350">
        <f>1*IF($D$6&lt;5,0,IF($D$6&lt;70,1,1))</f>
        <v>1</v>
      </c>
      <c r="E234" s="342" t="str">
        <f>IF(ISBLANK(C234),"",IFERROR(IF(fnStepCostHourly=0,fnStepNotAvail,IF(ISBLANK(D234),"",fnStepCostHourly*$D234*VLOOKUP(BasisYear,ChemPPI[],14,FALSE)/VLOOKUP(2017,ChemPPI[],14,FALSE))),""))</f>
        <v/>
      </c>
      <c r="F234" s="342" t="str">
        <f t="shared" si="12"/>
        <v/>
      </c>
      <c r="G234" s="341" t="str">
        <f t="shared" si="13"/>
        <v/>
      </c>
      <c r="H234" s="248"/>
      <c r="I234" s="247" t="str">
        <f>IFERROR(VLOOKUP($C234,Steps[],5,FALSE),"")</f>
        <v>Substitute with plate and frame at small scale</v>
      </c>
      <c r="J234" s="251"/>
    </row>
    <row r="235" spans="2:10" ht="16" hidden="1" customHeight="1" outlineLevel="1">
      <c r="B235" s="16"/>
      <c r="C235" s="69" t="s">
        <v>931</v>
      </c>
      <c r="D235" s="246">
        <v>1</v>
      </c>
      <c r="E235" s="342" t="str">
        <f>IF(ISBLANK(C235),"",IFERROR(IF(fnStepCostHourly=0,fnStepNotAvail,IF(ISBLANK(D235),"",fnStepCostHourly*$D235*VLOOKUP(BasisYear,ChemPPI[],14,FALSE)/VLOOKUP(2017,ChemPPI[],14,FALSE))),""))</f>
        <v/>
      </c>
      <c r="F235" s="342" t="str">
        <f t="shared" si="12"/>
        <v/>
      </c>
      <c r="G235" s="341" t="str">
        <f t="shared" si="13"/>
        <v/>
      </c>
      <c r="H235" s="248"/>
      <c r="I235" s="247" t="str">
        <f>IFERROR(VLOOKUP($C235,Steps[],5,FALSE),"")</f>
        <v>-</v>
      </c>
      <c r="J235" s="251"/>
    </row>
    <row r="236" spans="2:10" ht="16" hidden="1" customHeight="1" outlineLevel="1">
      <c r="B236" s="16"/>
      <c r="C236" s="69" t="s">
        <v>1076</v>
      </c>
      <c r="D236" s="246">
        <v>1</v>
      </c>
      <c r="E236" s="342" t="str">
        <f>IF(ISBLANK(C236),"",IFERROR(IF(fnStepCostHourly=0,fnStepNotAvail,IF(ISBLANK(D236),"",fnStepCostHourly*$D236*VLOOKUP(BasisYear,ChemPPI[],14,FALSE)/VLOOKUP(2017,ChemPPI[],14,FALSE))),""))</f>
        <v/>
      </c>
      <c r="F236" s="342" t="str">
        <f t="shared" si="12"/>
        <v/>
      </c>
      <c r="G236" s="341" t="str">
        <f t="shared" si="13"/>
        <v/>
      </c>
      <c r="H236" s="248"/>
      <c r="I236" s="247" t="str">
        <f>IFERROR(VLOOKUP($C236,Steps[],5,FALSE),"")</f>
        <v>-</v>
      </c>
      <c r="J236" s="251"/>
    </row>
    <row r="237" spans="2:10" ht="16" hidden="1" customHeight="1" outlineLevel="1">
      <c r="B237" s="16"/>
      <c r="C237" s="69"/>
      <c r="D237" s="246"/>
      <c r="E237" s="342" t="str">
        <f>IF(ISBLANK(C237),"",IFERROR(IF(fnStepCostHourly=0,fnStepNotAvail,IF(ISBLANK(D237),"",fnStepCostHourly*$D237*VLOOKUP(BasisYear,ChemPPI[],14,FALSE)/VLOOKUP(2017,ChemPPI[],14,FALSE))),""))</f>
        <v/>
      </c>
      <c r="F237" s="342" t="str">
        <f t="shared" si="12"/>
        <v/>
      </c>
      <c r="G237" s="341" t="str">
        <f t="shared" si="13"/>
        <v/>
      </c>
      <c r="H237" s="248"/>
      <c r="I237" s="247" t="str">
        <f>IFERROR(VLOOKUP($C237,Steps[],5,FALSE),"")</f>
        <v/>
      </c>
      <c r="J237" s="251"/>
    </row>
    <row r="238" spans="2:10" ht="16" hidden="1" customHeight="1" outlineLevel="1">
      <c r="B238" s="16"/>
      <c r="C238" s="69"/>
      <c r="D238" s="246"/>
      <c r="E238" s="342" t="str">
        <f>IF(ISBLANK(C238),"",IFERROR(IF(fnStepCostHourly=0,fnStepNotAvail,IF(ISBLANK(D238),"",fnStepCostHourly*$D238*VLOOKUP(BasisYear,ChemPPI[],14,FALSE)/VLOOKUP(2017,ChemPPI[],14,FALSE))),""))</f>
        <v/>
      </c>
      <c r="F238" s="342" t="str">
        <f t="shared" si="12"/>
        <v/>
      </c>
      <c r="G238" s="341" t="str">
        <f t="shared" si="13"/>
        <v/>
      </c>
      <c r="H238" s="248"/>
      <c r="I238" s="247" t="str">
        <f>IFERROR(VLOOKUP($C238,Steps[],5,FALSE),"")</f>
        <v/>
      </c>
      <c r="J238" s="251"/>
    </row>
    <row r="239" spans="2:10" ht="16" hidden="1" customHeight="1" outlineLevel="1">
      <c r="B239" s="16"/>
      <c r="C239" s="69"/>
      <c r="D239" s="246"/>
      <c r="E239" s="342" t="str">
        <f>IF(ISBLANK(C239),"",IFERROR(IF(fnStepCostHourly=0,fnStepNotAvail,IF(ISBLANK(D239),"",fnStepCostHourly*$D239*VLOOKUP(BasisYear,ChemPPI[],14,FALSE)/VLOOKUP(2017,ChemPPI[],14,FALSE))),""))</f>
        <v/>
      </c>
      <c r="F239" s="342" t="str">
        <f t="shared" si="12"/>
        <v/>
      </c>
      <c r="G239" s="341" t="str">
        <f t="shared" si="13"/>
        <v/>
      </c>
      <c r="H239" s="248"/>
      <c r="I239" s="247" t="str">
        <f>IFERROR(VLOOKUP($C239,Steps[],5,FALSE),"")</f>
        <v/>
      </c>
      <c r="J239" s="251"/>
    </row>
    <row r="240" spans="2:10" ht="16" hidden="1" customHeight="1" outlineLevel="1">
      <c r="B240" s="16"/>
      <c r="C240" s="69"/>
      <c r="D240" s="246"/>
      <c r="E240" s="342" t="str">
        <f>IF(ISBLANK(C240),"",IFERROR(IF(fnStepCostHourly=0,fnStepNotAvail,IF(ISBLANK(D240),"",fnStepCostHourly*$D240*VLOOKUP(BasisYear,ChemPPI[],14,FALSE)/VLOOKUP(2017,ChemPPI[],14,FALSE))),""))</f>
        <v/>
      </c>
      <c r="F240" s="342" t="str">
        <f t="shared" si="12"/>
        <v/>
      </c>
      <c r="G240" s="341" t="str">
        <f t="shared" si="13"/>
        <v/>
      </c>
      <c r="H240" s="248"/>
      <c r="I240" s="247" t="str">
        <f>IFERROR(VLOOKUP($C240,Steps[],5,FALSE),"")</f>
        <v/>
      </c>
      <c r="J240" s="251"/>
    </row>
    <row r="241" spans="1:10" ht="16" hidden="1" customHeight="1" outlineLevel="1">
      <c r="B241" s="16"/>
      <c r="C241" s="69"/>
      <c r="D241" s="246"/>
      <c r="E241" s="342" t="str">
        <f>IF(ISBLANK(C241),"",IFERROR(IF(fnStepCostHourly=0,fnStepNotAvail,IF(ISBLANK(D241),"",fnStepCostHourly*$D241*VLOOKUP(BasisYear,ChemPPI[],14,FALSE)/VLOOKUP(2017,ChemPPI[],14,FALSE))),""))</f>
        <v/>
      </c>
      <c r="F241" s="342" t="str">
        <f t="shared" si="12"/>
        <v/>
      </c>
      <c r="G241" s="341" t="str">
        <f t="shared" si="13"/>
        <v/>
      </c>
      <c r="H241" s="248"/>
      <c r="I241" s="247" t="str">
        <f>IFERROR(VLOOKUP($C241,Steps[],5,FALSE),"")</f>
        <v/>
      </c>
      <c r="J241" s="251"/>
    </row>
    <row r="242" spans="1:10" ht="16" hidden="1" customHeight="1" outlineLevel="1">
      <c r="B242" s="16"/>
      <c r="C242" s="69"/>
      <c r="D242" s="246"/>
      <c r="E242" s="342" t="str">
        <f>IF(ISBLANK(C242),"",IFERROR(IF(fnStepCostHourly=0,fnStepNotAvail,IF(ISBLANK(D242),"",fnStepCostHourly*$D242*VLOOKUP(BasisYear,ChemPPI[],14,FALSE)/VLOOKUP(2017,ChemPPI[],14,FALSE))),""))</f>
        <v/>
      </c>
      <c r="F242" s="342" t="str">
        <f t="shared" si="12"/>
        <v/>
      </c>
      <c r="G242" s="341" t="str">
        <f t="shared" si="13"/>
        <v/>
      </c>
      <c r="H242" s="248"/>
      <c r="I242" s="247" t="str">
        <f>IFERROR(VLOOKUP($C242,Steps[],5,FALSE),"")</f>
        <v/>
      </c>
      <c r="J242" s="251"/>
    </row>
    <row r="243" spans="1:10" ht="16" hidden="1" customHeight="1" outlineLevel="1">
      <c r="B243" s="16"/>
      <c r="C243" s="69"/>
      <c r="D243" s="246"/>
      <c r="E243" s="342" t="str">
        <f>IF(ISBLANK(C243),"",IFERROR(IF(fnStepCostHourly=0,fnStepNotAvail,IF(ISBLANK(D243),"",fnStepCostHourly*$D243*VLOOKUP(BasisYear,ChemPPI[],14,FALSE)/VLOOKUP(2017,ChemPPI[],14,FALSE))),""))</f>
        <v/>
      </c>
      <c r="F243" s="342" t="str">
        <f t="shared" si="12"/>
        <v/>
      </c>
      <c r="G243" s="341" t="str">
        <f t="shared" si="13"/>
        <v/>
      </c>
      <c r="H243" s="248"/>
      <c r="I243" s="247" t="str">
        <f>IFERROR(VLOOKUP($C243,Steps[],5,FALSE),"")</f>
        <v/>
      </c>
      <c r="J243" s="251"/>
    </row>
    <row r="244" spans="1:10" ht="16" hidden="1" customHeight="1" outlineLevel="1">
      <c r="B244" s="16"/>
      <c r="C244" s="69"/>
      <c r="D244" s="246"/>
      <c r="E244" s="342" t="str">
        <f>IF(ISBLANK(C244),"",IFERROR(IF(fnStepCostHourly=0,fnStepNotAvail,IF(ISBLANK(D244),"",fnStepCostHourly*$D244*VLOOKUP(BasisYear,ChemPPI[],14,FALSE)/VLOOKUP(2017,ChemPPI[],14,FALSE))),""))</f>
        <v/>
      </c>
      <c r="F244" s="342" t="str">
        <f t="shared" si="12"/>
        <v/>
      </c>
      <c r="G244" s="341" t="str">
        <f t="shared" si="13"/>
        <v/>
      </c>
      <c r="H244" s="248"/>
      <c r="I244" s="247" t="str">
        <f>IFERROR(VLOOKUP($C244,Steps[],5,FALSE),"")</f>
        <v/>
      </c>
      <c r="J244" s="251"/>
    </row>
    <row r="245" spans="1:10" ht="16" hidden="1" customHeight="1" outlineLevel="1">
      <c r="B245" s="16"/>
      <c r="C245" s="69"/>
      <c r="D245" s="246"/>
      <c r="E245" s="342" t="str">
        <f>IF(ISBLANK(C245),"",IFERROR(IF(fnStepCostHourly=0,fnStepNotAvail,IF(ISBLANK(D245),"",fnStepCostHourly*$D245*VLOOKUP(BasisYear,ChemPPI[],14,FALSE)/VLOOKUP(2017,ChemPPI[],14,FALSE))),""))</f>
        <v/>
      </c>
      <c r="F245" s="342" t="str">
        <f t="shared" si="12"/>
        <v/>
      </c>
      <c r="G245" s="341" t="str">
        <f t="shared" si="13"/>
        <v/>
      </c>
      <c r="H245" s="248"/>
      <c r="I245" s="247" t="str">
        <f>IFERROR(VLOOKUP($C245,Steps[],5,FALSE),"")</f>
        <v/>
      </c>
      <c r="J245" s="251"/>
    </row>
    <row r="246" spans="1:10" ht="16" hidden="1" customHeight="1" outlineLevel="1">
      <c r="B246" s="16"/>
      <c r="C246" s="69"/>
      <c r="D246" s="246"/>
      <c r="E246" s="342" t="str">
        <f>IF(ISBLANK(C246),"",IFERROR(IF(fnStepCostHourly=0,fnStepNotAvail,IF(ISBLANK(D246),"",fnStepCostHourly*$D246*VLOOKUP(BasisYear,ChemPPI[],14,FALSE)/VLOOKUP(2017,ChemPPI[],14,FALSE))),""))</f>
        <v/>
      </c>
      <c r="F246" s="342" t="str">
        <f t="shared" si="12"/>
        <v/>
      </c>
      <c r="G246" s="341" t="str">
        <f t="shared" si="13"/>
        <v/>
      </c>
      <c r="H246" s="248"/>
      <c r="I246" s="247" t="str">
        <f>IFERROR(VLOOKUP($C246,Steps[],5,FALSE),"")</f>
        <v/>
      </c>
      <c r="J246" s="251"/>
    </row>
    <row r="247" spans="1:10" ht="16" hidden="1" customHeight="1" outlineLevel="1">
      <c r="B247" s="16"/>
      <c r="C247" s="69"/>
      <c r="D247" s="246"/>
      <c r="E247" s="342" t="str">
        <f>IF(ISBLANK(C247),"",IFERROR(IF(fnStepCostHourly=0,fnStepNotAvail,IF(ISBLANK(D247),"",fnStepCostHourly*$D247*VLOOKUP(BasisYear,ChemPPI[],14,FALSE)/VLOOKUP(2017,ChemPPI[],14,FALSE))),""))</f>
        <v/>
      </c>
      <c r="F247" s="342" t="str">
        <f t="shared" si="12"/>
        <v/>
      </c>
      <c r="G247" s="341" t="str">
        <f t="shared" si="13"/>
        <v/>
      </c>
      <c r="H247" s="248"/>
      <c r="I247" s="247" t="str">
        <f>IFERROR(VLOOKUP($C247,Steps[],5,FALSE),"")</f>
        <v/>
      </c>
      <c r="J247" s="251"/>
    </row>
    <row r="248" spans="1:10" ht="16" hidden="1" customHeight="1" outlineLevel="1">
      <c r="B248" s="16"/>
      <c r="C248" s="69"/>
      <c r="D248" s="246"/>
      <c r="E248" s="342" t="str">
        <f>IF(ISBLANK(C248),"",IFERROR(IF(fnStepCostHourly=0,fnStepNotAvail,IF(ISBLANK(D248),"",fnStepCostHourly*$D248*VLOOKUP(BasisYear,ChemPPI[],14,FALSE)/VLOOKUP(2017,ChemPPI[],14,FALSE))),""))</f>
        <v/>
      </c>
      <c r="F248" s="342" t="str">
        <f t="shared" si="12"/>
        <v/>
      </c>
      <c r="G248" s="341" t="str">
        <f t="shared" si="13"/>
        <v/>
      </c>
      <c r="H248" s="248"/>
      <c r="I248" s="247" t="str">
        <f>IFERROR(VLOOKUP($C248,Steps[],5,FALSE),"")</f>
        <v/>
      </c>
      <c r="J248" s="251"/>
    </row>
    <row r="249" spans="1:10" ht="16" hidden="1" customHeight="1" outlineLevel="1">
      <c r="B249" s="16"/>
      <c r="C249" s="69"/>
      <c r="D249" s="246"/>
      <c r="E249" s="342" t="str">
        <f>IF(ISBLANK(C249),"",IFERROR(IF(fnStepCostHourly=0,fnStepNotAvail,IF(ISBLANK(D249),"",fnStepCostHourly*$D249*VLOOKUP(BasisYear,ChemPPI[],14,FALSE)/VLOOKUP(2017,ChemPPI[],14,FALSE))),""))</f>
        <v/>
      </c>
      <c r="F249" s="342" t="str">
        <f t="shared" si="12"/>
        <v/>
      </c>
      <c r="G249" s="341" t="str">
        <f t="shared" si="13"/>
        <v/>
      </c>
      <c r="H249" s="248"/>
      <c r="I249" s="247" t="str">
        <f>IFERROR(VLOOKUP($C249,Steps[],5,FALSE),"")</f>
        <v/>
      </c>
      <c r="J249" s="251"/>
    </row>
    <row r="250" spans="1:10" ht="17" hidden="1" outlineLevel="1" thickBot="1">
      <c r="B250" s="252"/>
      <c r="C250" s="253"/>
      <c r="D250" s="253"/>
      <c r="E250" s="253"/>
      <c r="F250" s="253"/>
      <c r="G250" s="253"/>
      <c r="H250" s="253"/>
      <c r="I250" s="253"/>
      <c r="J250" s="254"/>
    </row>
    <row r="251" spans="1:10" ht="17" collapsed="1" thickBot="1">
      <c r="A251" s="314" t="str">
        <f>"&lt;– show/hide "&amp;B219</f>
        <v>&lt;– show/hide Step Process Template: Metal (PGM) on Carbon</v>
      </c>
    </row>
    <row r="252" spans="1:10" ht="21" thickBot="1">
      <c r="B252" s="355" t="str">
        <f>"Step Process Template: "&amp;C255</f>
        <v>Step Process Template: Metal (PGM) on Metal Oxide</v>
      </c>
      <c r="C252" s="356"/>
      <c r="D252" s="356"/>
      <c r="E252" s="356"/>
      <c r="F252" s="356"/>
      <c r="G252" s="356"/>
      <c r="H252" s="357"/>
    </row>
    <row r="253" spans="1:10" hidden="1" outlineLevel="1">
      <c r="B253" s="13"/>
      <c r="C253" s="14"/>
      <c r="D253" s="14"/>
      <c r="E253" s="14"/>
      <c r="F253" s="14"/>
      <c r="G253" s="14"/>
      <c r="H253" s="15"/>
      <c r="J253" s="201"/>
    </row>
    <row r="254" spans="1:10" hidden="1" outlineLevel="1">
      <c r="B254" s="16"/>
      <c r="C254" s="17" t="s">
        <v>1055</v>
      </c>
      <c r="D254" s="256" t="s">
        <v>961</v>
      </c>
      <c r="E254" s="64" t="s">
        <v>953</v>
      </c>
      <c r="F254" s="64" t="s">
        <v>954</v>
      </c>
      <c r="G254" s="64" t="str">
        <f>"Cost ($/"&amp;OutMassUnit&amp;" catalyst)"</f>
        <v>Cost ($/lb catalyst)</v>
      </c>
      <c r="H254" s="250"/>
      <c r="J254" s="201"/>
    </row>
    <row r="255" spans="1:10" ht="16" hidden="1" customHeight="1" outlineLevel="1">
      <c r="B255" s="16"/>
      <c r="C255" s="18" t="s">
        <v>1100</v>
      </c>
      <c r="D255" s="256"/>
      <c r="E255" s="344">
        <f>SUM(E263:E282)</f>
        <v>0</v>
      </c>
      <c r="F255" s="344">
        <f>SUM(F263:F282)</f>
        <v>0</v>
      </c>
      <c r="G255" s="343">
        <f>SUM(G263:G282)</f>
        <v>0</v>
      </c>
      <c r="H255" s="336"/>
      <c r="J255" s="201"/>
    </row>
    <row r="256" spans="1:10" ht="16" hidden="1" customHeight="1" outlineLevel="1">
      <c r="B256" s="16"/>
      <c r="C256" s="353" t="str">
        <f>"Name: "&amp;C255</f>
        <v>Name: Metal (PGM) on Metal Oxide</v>
      </c>
      <c r="D256" s="256"/>
      <c r="E256" s="347"/>
      <c r="F256" s="347"/>
      <c r="G256" s="348"/>
      <c r="H256" s="336"/>
      <c r="J256" s="201"/>
    </row>
    <row r="257" spans="2:10" ht="16" hidden="1" customHeight="1" outlineLevel="1">
      <c r="B257" s="16"/>
      <c r="C257" s="17" t="s">
        <v>1070</v>
      </c>
      <c r="D257" s="256"/>
      <c r="E257" s="347"/>
      <c r="F257" s="347"/>
      <c r="G257" s="348"/>
      <c r="H257" s="336"/>
      <c r="J257" s="201"/>
    </row>
    <row r="258" spans="2:10" ht="16" hidden="1" customHeight="1" outlineLevel="1">
      <c r="B258" s="16"/>
      <c r="C258" s="18" t="s">
        <v>1081</v>
      </c>
      <c r="D258" s="256"/>
      <c r="E258" s="347"/>
      <c r="F258" s="347"/>
      <c r="G258" s="348"/>
      <c r="H258" s="336"/>
      <c r="J258" s="201"/>
    </row>
    <row r="259" spans="2:10" ht="16" hidden="1" customHeight="1" outlineLevel="1">
      <c r="B259" s="16"/>
      <c r="C259" s="18" t="s">
        <v>1073</v>
      </c>
      <c r="D259" s="256"/>
      <c r="E259" s="347"/>
      <c r="F259" s="347"/>
      <c r="G259" s="348"/>
      <c r="H259" s="336"/>
      <c r="J259" s="201"/>
    </row>
    <row r="260" spans="2:10" ht="17" hidden="1" outlineLevel="1" thickBot="1">
      <c r="B260" s="21"/>
      <c r="C260" s="22"/>
      <c r="D260" s="22"/>
      <c r="E260" s="22"/>
      <c r="F260" s="22"/>
      <c r="G260" s="22"/>
      <c r="H260" s="23"/>
      <c r="J260" s="201"/>
    </row>
    <row r="261" spans="2:10" ht="16" hidden="1" customHeight="1" outlineLevel="1">
      <c r="B261" s="16"/>
      <c r="C261" s="18"/>
      <c r="D261" s="18"/>
      <c r="E261" s="18"/>
      <c r="F261" s="18"/>
      <c r="G261" s="18"/>
      <c r="H261" s="18"/>
      <c r="I261" s="14"/>
      <c r="J261" s="15"/>
    </row>
    <row r="262" spans="2:10" ht="17" hidden="1" customHeight="1" outlineLevel="1">
      <c r="B262" s="16"/>
      <c r="C262" s="339" t="s">
        <v>937</v>
      </c>
      <c r="D262" s="339" t="s">
        <v>309</v>
      </c>
      <c r="E262" s="339" t="s">
        <v>953</v>
      </c>
      <c r="F262" s="339" t="s">
        <v>954</v>
      </c>
      <c r="G262" s="339" t="str">
        <f>"Cost ($/"&amp;OutMassUnit&amp;" catalyst)"</f>
        <v>Cost ($/lb catalyst)</v>
      </c>
      <c r="H262" s="339"/>
      <c r="I262" s="339" t="s">
        <v>207</v>
      </c>
      <c r="J262" s="250"/>
    </row>
    <row r="263" spans="2:10" ht="16" hidden="1" customHeight="1" outlineLevel="1">
      <c r="B263" s="16"/>
      <c r="C263" s="69" t="s">
        <v>923</v>
      </c>
      <c r="D263" s="246">
        <v>1</v>
      </c>
      <c r="E263" s="342" t="str">
        <f>IF(ISBLANK(C263),"",IFERROR(IF(fnStepCostHourly=0,fnStepNotAvail,IF(ISBLANK(D263),"",fnStepCostHourly*$D263*VLOOKUP(BasisYear,ChemPPI[],14,FALSE)/VLOOKUP(2017,ChemPPI[],14,FALSE))),""))</f>
        <v/>
      </c>
      <c r="F263" s="342" t="str">
        <f t="shared" ref="F263:F282" si="14">IFERROR($E263*$D$9*24,$E263)</f>
        <v/>
      </c>
      <c r="G263" s="341" t="str">
        <f t="shared" ref="G263:G282" si="15">IFERROR($F263/$D$7,$F263)</f>
        <v/>
      </c>
      <c r="H263" s="248"/>
      <c r="I263" s="247" t="str">
        <f>IFERROR(VLOOKUP($C263,Steps[],5,FALSE),"")</f>
        <v>-</v>
      </c>
      <c r="J263" s="251"/>
    </row>
    <row r="264" spans="2:10" ht="16" hidden="1" customHeight="1" outlineLevel="1">
      <c r="B264" s="16"/>
      <c r="C264" s="349" t="s">
        <v>946</v>
      </c>
      <c r="D264" s="350">
        <f>1*IF($D$6&lt;5,0,IF($D$6&lt;70,1,1))</f>
        <v>1</v>
      </c>
      <c r="E264" s="342" t="str">
        <f>IF(ISBLANK(C264),"",IFERROR(IF(fnStepCostHourly=0,fnStepNotAvail,IF(ISBLANK(D264),"",fnStepCostHourly*$D264*VLOOKUP(BasisYear,ChemPPI[],14,FALSE)/VLOOKUP(2017,ChemPPI[],14,FALSE))),""))</f>
        <v/>
      </c>
      <c r="F264" s="342" t="str">
        <f t="shared" si="14"/>
        <v/>
      </c>
      <c r="G264" s="341" t="str">
        <f t="shared" si="15"/>
        <v/>
      </c>
      <c r="H264" s="248"/>
      <c r="I264" s="247" t="str">
        <f>IFERROR(VLOOKUP($C264,Steps[],5,FALSE),"")</f>
        <v>A.k.a. calciner. Sub with batch kiln at small scale</v>
      </c>
      <c r="J264" s="251"/>
    </row>
    <row r="265" spans="2:10" ht="16" hidden="1" customHeight="1" outlineLevel="1">
      <c r="B265" s="16"/>
      <c r="C265" s="349" t="s">
        <v>948</v>
      </c>
      <c r="D265" s="350">
        <f>1*IF($D$6&lt;5,1,IF($D$6&lt;70,0,0))</f>
        <v>0</v>
      </c>
      <c r="E265" s="342" t="str">
        <f>IF(ISBLANK(C265),"",IFERROR(IF(fnStepCostHourly=0,fnStepNotAvail,IF(ISBLANK(D265),"",fnStepCostHourly*$D265*VLOOKUP(BasisYear,ChemPPI[],14,FALSE)/VLOOKUP(2017,ChemPPI[],14,FALSE))),""))</f>
        <v/>
      </c>
      <c r="F265" s="342" t="str">
        <f t="shared" si="14"/>
        <v/>
      </c>
      <c r="G265" s="341" t="str">
        <f t="shared" si="15"/>
        <v/>
      </c>
      <c r="H265" s="248"/>
      <c r="I265" s="247" t="str">
        <f>IFERROR(VLOOKUP($C265,Steps[],5,FALSE),"")</f>
        <v>A.k.a. calciner. Sub with continuous kiln at M/L scale</v>
      </c>
      <c r="J265" s="251"/>
    </row>
    <row r="266" spans="2:10" ht="16" hidden="1" customHeight="1" outlineLevel="1">
      <c r="B266" s="16"/>
      <c r="C266" s="69" t="s">
        <v>939</v>
      </c>
      <c r="D266" s="246">
        <v>1</v>
      </c>
      <c r="E266" s="342" t="str">
        <f>IF(ISBLANK(C266),"",IFERROR(IF(fnStepCostHourly=0,fnStepNotAvail,IF(ISBLANK(D266),"",fnStepCostHourly*$D266*VLOOKUP(BasisYear,ChemPPI[],14,FALSE)/VLOOKUP(2017,ChemPPI[],14,FALSE))),""))</f>
        <v/>
      </c>
      <c r="F266" s="342" t="str">
        <f t="shared" si="14"/>
        <v/>
      </c>
      <c r="G266" s="341" t="str">
        <f t="shared" si="15"/>
        <v/>
      </c>
      <c r="H266" s="248"/>
      <c r="I266" s="247" t="str">
        <f>IFERROR(VLOOKUP($C266,Steps[],5,FALSE),"")</f>
        <v>-</v>
      </c>
      <c r="J266" s="251"/>
    </row>
    <row r="267" spans="2:10" ht="16" hidden="1" customHeight="1" outlineLevel="1">
      <c r="B267" s="16" t="s">
        <v>1072</v>
      </c>
      <c r="C267" s="69" t="s">
        <v>924</v>
      </c>
      <c r="D267" s="246">
        <v>1</v>
      </c>
      <c r="E267" s="342" t="str">
        <f>IF(ISBLANK(C267),"",IFERROR(IF(fnStepCostHourly=0,fnStepNotAvail,IF(ISBLANK(D267),"",fnStepCostHourly*$D267*VLOOKUP(BasisYear,ChemPPI[],14,FALSE)/VLOOKUP(2017,ChemPPI[],14,FALSE))),""))</f>
        <v/>
      </c>
      <c r="F267" s="342" t="str">
        <f t="shared" si="14"/>
        <v/>
      </c>
      <c r="G267" s="341" t="str">
        <f t="shared" si="15"/>
        <v/>
      </c>
      <c r="H267" s="248"/>
      <c r="I267" s="247" t="str">
        <f>IFERROR(VLOOKUP($C267,Steps[],5,FALSE),"")</f>
        <v>-</v>
      </c>
      <c r="J267" s="251"/>
    </row>
    <row r="268" spans="2:10" ht="16" hidden="1" customHeight="1" outlineLevel="1">
      <c r="B268" s="16" t="s">
        <v>1072</v>
      </c>
      <c r="C268" s="349" t="s">
        <v>926</v>
      </c>
      <c r="D268" s="350">
        <f>1*IF($D$6&lt;5,0,IF($D$6&lt;70,1,1))</f>
        <v>1</v>
      </c>
      <c r="E268" s="342" t="str">
        <f>IF(ISBLANK(C268),"",IFERROR(IF(fnStepCostHourly=0,fnStepNotAvail,IF(ISBLANK(D268),"",fnStepCostHourly*$D268*VLOOKUP(BasisYear,ChemPPI[],14,FALSE)/VLOOKUP(2017,ChemPPI[],14,FALSE))),""))</f>
        <v/>
      </c>
      <c r="F268" s="342" t="str">
        <f t="shared" si="14"/>
        <v/>
      </c>
      <c r="G268" s="341" t="str">
        <f t="shared" si="15"/>
        <v/>
      </c>
      <c r="H268" s="248"/>
      <c r="I268" s="247" t="str">
        <f>IFERROR(VLOOKUP($C268,Steps[],5,FALSE),"")</f>
        <v>Substitute with plate and frame at small scale</v>
      </c>
      <c r="J268" s="251"/>
    </row>
    <row r="269" spans="2:10" ht="16" hidden="1" customHeight="1" outlineLevel="1">
      <c r="B269" s="351" t="s">
        <v>1080</v>
      </c>
      <c r="C269" s="349" t="s">
        <v>928</v>
      </c>
      <c r="D269" s="350">
        <f>1*IF($D$6&lt;5,1,IF($D$6&lt;70,0,0))</f>
        <v>0</v>
      </c>
      <c r="E269" s="342" t="str">
        <f>IF(ISBLANK(C269),"",IFERROR(IF(fnStepCostHourly=0,fnStepNotAvail,IF(ISBLANK(D269),"",fnStepCostHourly*$D269*VLOOKUP(BasisYear,ChemPPI[],14,FALSE)/VLOOKUP(2017,ChemPPI[],14,FALSE))),""))</f>
        <v/>
      </c>
      <c r="F269" s="342" t="str">
        <f t="shared" si="14"/>
        <v/>
      </c>
      <c r="G269" s="341" t="str">
        <f t="shared" si="15"/>
        <v/>
      </c>
      <c r="H269" s="248"/>
      <c r="I269" s="247" t="str">
        <f>IFERROR(VLOOKUP($C269,Steps[],5,FALSE),"")</f>
        <v>Substitute with belt or rotary vacuum at M/L scale</v>
      </c>
      <c r="J269" s="251"/>
    </row>
    <row r="270" spans="2:10" ht="16" hidden="1" customHeight="1" outlineLevel="1">
      <c r="B270" s="16" t="s">
        <v>1072</v>
      </c>
      <c r="C270" s="69" t="s">
        <v>1076</v>
      </c>
      <c r="D270" s="246">
        <v>1</v>
      </c>
      <c r="E270" s="342" t="str">
        <f>IF(ISBLANK(C270),"",IFERROR(IF(fnStepCostHourly=0,fnStepNotAvail,IF(ISBLANK(D270),"",fnStepCostHourly*$D270*VLOOKUP(BasisYear,ChemPPI[],14,FALSE)/VLOOKUP(2017,ChemPPI[],14,FALSE))),""))</f>
        <v/>
      </c>
      <c r="F270" s="342" t="str">
        <f t="shared" si="14"/>
        <v/>
      </c>
      <c r="G270" s="341" t="str">
        <f t="shared" si="15"/>
        <v/>
      </c>
      <c r="H270" s="248"/>
      <c r="I270" s="247" t="str">
        <f>IFERROR(VLOOKUP($C270,Steps[],5,FALSE),"")</f>
        <v>-</v>
      </c>
      <c r="J270" s="251"/>
    </row>
    <row r="271" spans="2:10" ht="16" hidden="1" customHeight="1" outlineLevel="1">
      <c r="B271" s="16" t="s">
        <v>1072</v>
      </c>
      <c r="C271" s="69" t="s">
        <v>1075</v>
      </c>
      <c r="D271" s="246">
        <v>2</v>
      </c>
      <c r="E271" s="342" t="str">
        <f>IF(ISBLANK(C271),"",IFERROR(IF(fnStepCostHourly=0,fnStepNotAvail,IF(ISBLANK(D271),"",fnStepCostHourly*$D271*VLOOKUP(BasisYear,ChemPPI[],14,FALSE)/VLOOKUP(2017,ChemPPI[],14,FALSE))),""))</f>
        <v/>
      </c>
      <c r="F271" s="342" t="str">
        <f t="shared" si="14"/>
        <v/>
      </c>
      <c r="G271" s="341" t="str">
        <f t="shared" si="15"/>
        <v/>
      </c>
      <c r="H271" s="248"/>
      <c r="I271" s="247" t="str">
        <f>IFERROR(VLOOKUP($C271,Steps[],5,FALSE),"")</f>
        <v>For higher temp use kiln</v>
      </c>
      <c r="J271" s="251"/>
    </row>
    <row r="272" spans="2:10" ht="16" hidden="1" customHeight="1" outlineLevel="1">
      <c r="B272" s="16"/>
      <c r="C272" s="69"/>
      <c r="D272" s="246"/>
      <c r="E272" s="342" t="str">
        <f>IF(ISBLANK(C272),"",IFERROR(IF(fnStepCostHourly=0,fnStepNotAvail,IF(ISBLANK(D272),"",fnStepCostHourly*$D272*VLOOKUP(BasisYear,ChemPPI[],14,FALSE)/VLOOKUP(2017,ChemPPI[],14,FALSE))),""))</f>
        <v/>
      </c>
      <c r="F272" s="342" t="str">
        <f t="shared" si="14"/>
        <v/>
      </c>
      <c r="G272" s="341" t="str">
        <f t="shared" si="15"/>
        <v/>
      </c>
      <c r="H272" s="248"/>
      <c r="I272" s="247" t="str">
        <f>IFERROR(VLOOKUP($C272,Steps[],5,FALSE),"")</f>
        <v/>
      </c>
      <c r="J272" s="251"/>
    </row>
    <row r="273" spans="1:10" ht="16" hidden="1" customHeight="1" outlineLevel="1">
      <c r="B273" s="16"/>
      <c r="C273" s="69"/>
      <c r="D273" s="246"/>
      <c r="E273" s="342" t="str">
        <f>IF(ISBLANK(C273),"",IFERROR(IF(fnStepCostHourly=0,fnStepNotAvail,IF(ISBLANK(D273),"",fnStepCostHourly*$D273*VLOOKUP(BasisYear,ChemPPI[],14,FALSE)/VLOOKUP(2017,ChemPPI[],14,FALSE))),""))</f>
        <v/>
      </c>
      <c r="F273" s="342" t="str">
        <f t="shared" si="14"/>
        <v/>
      </c>
      <c r="G273" s="341" t="str">
        <f t="shared" si="15"/>
        <v/>
      </c>
      <c r="H273" s="248"/>
      <c r="I273" s="247" t="str">
        <f>IFERROR(VLOOKUP($C273,Steps[],5,FALSE),"")</f>
        <v/>
      </c>
      <c r="J273" s="251"/>
    </row>
    <row r="274" spans="1:10" ht="16" hidden="1" customHeight="1" outlineLevel="1">
      <c r="B274" s="16"/>
      <c r="C274" s="69"/>
      <c r="D274" s="246"/>
      <c r="E274" s="342" t="str">
        <f>IF(ISBLANK(C274),"",IFERROR(IF(fnStepCostHourly=0,fnStepNotAvail,IF(ISBLANK(D274),"",fnStepCostHourly*$D274*VLOOKUP(BasisYear,ChemPPI[],14,FALSE)/VLOOKUP(2017,ChemPPI[],14,FALSE))),""))</f>
        <v/>
      </c>
      <c r="F274" s="342" t="str">
        <f t="shared" si="14"/>
        <v/>
      </c>
      <c r="G274" s="341" t="str">
        <f t="shared" si="15"/>
        <v/>
      </c>
      <c r="H274" s="248"/>
      <c r="I274" s="247" t="str">
        <f>IFERROR(VLOOKUP($C274,Steps[],5,FALSE),"")</f>
        <v/>
      </c>
      <c r="J274" s="251"/>
    </row>
    <row r="275" spans="1:10" ht="16" hidden="1" customHeight="1" outlineLevel="1">
      <c r="B275" s="16"/>
      <c r="C275" s="69"/>
      <c r="D275" s="246"/>
      <c r="E275" s="342" t="str">
        <f>IF(ISBLANK(C275),"",IFERROR(IF(fnStepCostHourly=0,fnStepNotAvail,IF(ISBLANK(D275),"",fnStepCostHourly*$D275*VLOOKUP(BasisYear,ChemPPI[],14,FALSE)/VLOOKUP(2017,ChemPPI[],14,FALSE))),""))</f>
        <v/>
      </c>
      <c r="F275" s="342" t="str">
        <f t="shared" si="14"/>
        <v/>
      </c>
      <c r="G275" s="341" t="str">
        <f t="shared" si="15"/>
        <v/>
      </c>
      <c r="H275" s="248"/>
      <c r="I275" s="247" t="str">
        <f>IFERROR(VLOOKUP($C275,Steps[],5,FALSE),"")</f>
        <v/>
      </c>
      <c r="J275" s="251"/>
    </row>
    <row r="276" spans="1:10" ht="16" hidden="1" customHeight="1" outlineLevel="1">
      <c r="B276" s="16"/>
      <c r="C276" s="69"/>
      <c r="D276" s="246"/>
      <c r="E276" s="342" t="str">
        <f>IF(ISBLANK(C276),"",IFERROR(IF(fnStepCostHourly=0,fnStepNotAvail,IF(ISBLANK(D276),"",fnStepCostHourly*$D276*VLOOKUP(BasisYear,ChemPPI[],14,FALSE)/VLOOKUP(2017,ChemPPI[],14,FALSE))),""))</f>
        <v/>
      </c>
      <c r="F276" s="342" t="str">
        <f t="shared" si="14"/>
        <v/>
      </c>
      <c r="G276" s="341" t="str">
        <f t="shared" si="15"/>
        <v/>
      </c>
      <c r="H276" s="248"/>
      <c r="I276" s="247" t="str">
        <f>IFERROR(VLOOKUP($C276,Steps[],5,FALSE),"")</f>
        <v/>
      </c>
      <c r="J276" s="251"/>
    </row>
    <row r="277" spans="1:10" ht="16" hidden="1" customHeight="1" outlineLevel="1">
      <c r="B277" s="16"/>
      <c r="C277" s="69"/>
      <c r="D277" s="246"/>
      <c r="E277" s="342" t="str">
        <f>IF(ISBLANK(C277),"",IFERROR(IF(fnStepCostHourly=0,fnStepNotAvail,IF(ISBLANK(D277),"",fnStepCostHourly*$D277*VLOOKUP(BasisYear,ChemPPI[],14,FALSE)/VLOOKUP(2017,ChemPPI[],14,FALSE))),""))</f>
        <v/>
      </c>
      <c r="F277" s="342" t="str">
        <f t="shared" si="14"/>
        <v/>
      </c>
      <c r="G277" s="341" t="str">
        <f t="shared" si="15"/>
        <v/>
      </c>
      <c r="H277" s="248"/>
      <c r="I277" s="247" t="str">
        <f>IFERROR(VLOOKUP($C277,Steps[],5,FALSE),"")</f>
        <v/>
      </c>
      <c r="J277" s="251"/>
    </row>
    <row r="278" spans="1:10" ht="16" hidden="1" customHeight="1" outlineLevel="1">
      <c r="B278" s="16"/>
      <c r="C278" s="69"/>
      <c r="D278" s="246"/>
      <c r="E278" s="342" t="str">
        <f>IF(ISBLANK(C278),"",IFERROR(IF(fnStepCostHourly=0,fnStepNotAvail,IF(ISBLANK(D278),"",fnStepCostHourly*$D278*VLOOKUP(BasisYear,ChemPPI[],14,FALSE)/VLOOKUP(2017,ChemPPI[],14,FALSE))),""))</f>
        <v/>
      </c>
      <c r="F278" s="342" t="str">
        <f t="shared" si="14"/>
        <v/>
      </c>
      <c r="G278" s="341" t="str">
        <f t="shared" si="15"/>
        <v/>
      </c>
      <c r="H278" s="248"/>
      <c r="I278" s="247" t="str">
        <f>IFERROR(VLOOKUP($C278,Steps[],5,FALSE),"")</f>
        <v/>
      </c>
      <c r="J278" s="251"/>
    </row>
    <row r="279" spans="1:10" ht="16" hidden="1" customHeight="1" outlineLevel="1">
      <c r="B279" s="16"/>
      <c r="C279" s="69"/>
      <c r="D279" s="246"/>
      <c r="E279" s="342" t="str">
        <f>IF(ISBLANK(C279),"",IFERROR(IF(fnStepCostHourly=0,fnStepNotAvail,IF(ISBLANK(D279),"",fnStepCostHourly*$D279*VLOOKUP(BasisYear,ChemPPI[],14,FALSE)/VLOOKUP(2017,ChemPPI[],14,FALSE))),""))</f>
        <v/>
      </c>
      <c r="F279" s="342" t="str">
        <f t="shared" si="14"/>
        <v/>
      </c>
      <c r="G279" s="341" t="str">
        <f t="shared" si="15"/>
        <v/>
      </c>
      <c r="H279" s="248"/>
      <c r="I279" s="247" t="str">
        <f>IFERROR(VLOOKUP($C279,Steps[],5,FALSE),"")</f>
        <v/>
      </c>
      <c r="J279" s="251"/>
    </row>
    <row r="280" spans="1:10" ht="16" hidden="1" customHeight="1" outlineLevel="1">
      <c r="B280" s="16"/>
      <c r="C280" s="69"/>
      <c r="D280" s="246"/>
      <c r="E280" s="342" t="str">
        <f>IF(ISBLANK(C280),"",IFERROR(IF(fnStepCostHourly=0,fnStepNotAvail,IF(ISBLANK(D280),"",fnStepCostHourly*$D280*VLOOKUP(BasisYear,ChemPPI[],14,FALSE)/VLOOKUP(2017,ChemPPI[],14,FALSE))),""))</f>
        <v/>
      </c>
      <c r="F280" s="342" t="str">
        <f t="shared" si="14"/>
        <v/>
      </c>
      <c r="G280" s="341" t="str">
        <f t="shared" si="15"/>
        <v/>
      </c>
      <c r="H280" s="248"/>
      <c r="I280" s="247" t="str">
        <f>IFERROR(VLOOKUP($C280,Steps[],5,FALSE),"")</f>
        <v/>
      </c>
      <c r="J280" s="251"/>
    </row>
    <row r="281" spans="1:10" ht="16" hidden="1" customHeight="1" outlineLevel="1">
      <c r="B281" s="16"/>
      <c r="C281" s="69"/>
      <c r="D281" s="246"/>
      <c r="E281" s="342" t="str">
        <f>IF(ISBLANK(C281),"",IFERROR(IF(fnStepCostHourly=0,fnStepNotAvail,IF(ISBLANK(D281),"",fnStepCostHourly*$D281*VLOOKUP(BasisYear,ChemPPI[],14,FALSE)/VLOOKUP(2017,ChemPPI[],14,FALSE))),""))</f>
        <v/>
      </c>
      <c r="F281" s="342" t="str">
        <f t="shared" si="14"/>
        <v/>
      </c>
      <c r="G281" s="341" t="str">
        <f t="shared" si="15"/>
        <v/>
      </c>
      <c r="H281" s="248"/>
      <c r="I281" s="247" t="str">
        <f>IFERROR(VLOOKUP($C281,Steps[],5,FALSE),"")</f>
        <v/>
      </c>
      <c r="J281" s="251"/>
    </row>
    <row r="282" spans="1:10" ht="16" hidden="1" customHeight="1" outlineLevel="1">
      <c r="B282" s="16"/>
      <c r="C282" s="69"/>
      <c r="D282" s="246"/>
      <c r="E282" s="342" t="str">
        <f>IF(ISBLANK(C282),"",IFERROR(IF(fnStepCostHourly=0,fnStepNotAvail,IF(ISBLANK(D282),"",fnStepCostHourly*$D282*VLOOKUP(BasisYear,ChemPPI[],14,FALSE)/VLOOKUP(2017,ChemPPI[],14,FALSE))),""))</f>
        <v/>
      </c>
      <c r="F282" s="342" t="str">
        <f t="shared" si="14"/>
        <v/>
      </c>
      <c r="G282" s="341" t="str">
        <f t="shared" si="15"/>
        <v/>
      </c>
      <c r="H282" s="248"/>
      <c r="I282" s="247" t="str">
        <f>IFERROR(VLOOKUP($C282,Steps[],5,FALSE),"")</f>
        <v/>
      </c>
      <c r="J282" s="251"/>
    </row>
    <row r="283" spans="1:10" ht="17" hidden="1" outlineLevel="1" thickBot="1">
      <c r="B283" s="252"/>
      <c r="C283" s="253"/>
      <c r="D283" s="253"/>
      <c r="E283" s="253"/>
      <c r="F283" s="253"/>
      <c r="G283" s="253"/>
      <c r="H283" s="253"/>
      <c r="I283" s="253"/>
      <c r="J283" s="254"/>
    </row>
    <row r="284" spans="1:10" ht="17" collapsed="1" thickBot="1">
      <c r="A284" s="314" t="str">
        <f>"&lt;– show/hide "&amp;B252</f>
        <v>&lt;– show/hide Step Process Template: Metal (PGM) on Metal Oxide</v>
      </c>
    </row>
    <row r="285" spans="1:10" ht="21" thickBot="1">
      <c r="B285" s="355" t="str">
        <f>"Step Process Template: "&amp;C288</f>
        <v>Step Process Template: Red Mud</v>
      </c>
      <c r="C285" s="356"/>
      <c r="D285" s="356"/>
      <c r="E285" s="356"/>
      <c r="F285" s="356"/>
      <c r="G285" s="356"/>
      <c r="H285" s="357"/>
    </row>
    <row r="286" spans="1:10" hidden="1" outlineLevel="1">
      <c r="B286" s="13"/>
      <c r="C286" s="14"/>
      <c r="D286" s="14"/>
      <c r="E286" s="14"/>
      <c r="F286" s="14"/>
      <c r="G286" s="14"/>
      <c r="H286" s="15"/>
      <c r="J286" s="201"/>
    </row>
    <row r="287" spans="1:10" hidden="1" outlineLevel="1">
      <c r="B287" s="16"/>
      <c r="C287" s="17" t="s">
        <v>1055</v>
      </c>
      <c r="D287" s="256" t="s">
        <v>961</v>
      </c>
      <c r="E287" s="64" t="s">
        <v>953</v>
      </c>
      <c r="F287" s="64" t="s">
        <v>954</v>
      </c>
      <c r="G287" s="64" t="str">
        <f>"Cost ($/"&amp;OutMassUnit&amp;" catalyst)"</f>
        <v>Cost ($/lb catalyst)</v>
      </c>
      <c r="H287" s="250"/>
      <c r="J287" s="201"/>
    </row>
    <row r="288" spans="1:10" ht="16" hidden="1" customHeight="1" outlineLevel="1">
      <c r="B288" s="16"/>
      <c r="C288" s="18" t="s">
        <v>1096</v>
      </c>
      <c r="D288" s="256"/>
      <c r="E288" s="344">
        <f>SUM(E296:E315)</f>
        <v>0</v>
      </c>
      <c r="F288" s="344">
        <f>SUM(F296:F315)</f>
        <v>0</v>
      </c>
      <c r="G288" s="343">
        <f>SUM(G296:G315)</f>
        <v>0</v>
      </c>
      <c r="H288" s="336"/>
      <c r="J288" s="201"/>
    </row>
    <row r="289" spans="2:10" ht="16" hidden="1" customHeight="1" outlineLevel="1">
      <c r="B289" s="16"/>
      <c r="C289" s="353" t="str">
        <f>"Name: "&amp;C288</f>
        <v>Name: Red Mud</v>
      </c>
      <c r="D289" s="256"/>
      <c r="E289" s="347"/>
      <c r="F289" s="347"/>
      <c r="G289" s="348"/>
      <c r="H289" s="336"/>
      <c r="J289" s="201"/>
    </row>
    <row r="290" spans="2:10" ht="16" hidden="1" customHeight="1" outlineLevel="1">
      <c r="B290" s="16"/>
      <c r="C290" s="17" t="s">
        <v>1070</v>
      </c>
      <c r="D290" s="256"/>
      <c r="E290" s="347"/>
      <c r="F290" s="347"/>
      <c r="G290" s="348"/>
      <c r="H290" s="336"/>
      <c r="J290" s="201"/>
    </row>
    <row r="291" spans="2:10" ht="16" hidden="1" customHeight="1" outlineLevel="1">
      <c r="B291" s="16"/>
      <c r="C291" s="18" t="s">
        <v>1097</v>
      </c>
      <c r="D291" s="256"/>
      <c r="E291" s="347"/>
      <c r="F291" s="347"/>
      <c r="G291" s="348"/>
      <c r="H291" s="336"/>
      <c r="J291" s="201"/>
    </row>
    <row r="292" spans="2:10" ht="16" hidden="1" customHeight="1" outlineLevel="1">
      <c r="B292" s="16"/>
      <c r="C292" s="18" t="s">
        <v>1073</v>
      </c>
      <c r="D292" s="256"/>
      <c r="E292" s="347"/>
      <c r="F292" s="347"/>
      <c r="G292" s="348"/>
      <c r="H292" s="336"/>
      <c r="J292" s="201"/>
    </row>
    <row r="293" spans="2:10" ht="17" hidden="1" outlineLevel="1" thickBot="1">
      <c r="B293" s="21"/>
      <c r="C293" s="22"/>
      <c r="D293" s="22"/>
      <c r="E293" s="22"/>
      <c r="F293" s="22"/>
      <c r="G293" s="22"/>
      <c r="H293" s="23"/>
      <c r="J293" s="201"/>
    </row>
    <row r="294" spans="2:10" ht="16" hidden="1" customHeight="1" outlineLevel="1">
      <c r="B294" s="16"/>
      <c r="C294" s="18"/>
      <c r="D294" s="18"/>
      <c r="E294" s="18"/>
      <c r="F294" s="18"/>
      <c r="G294" s="18"/>
      <c r="H294" s="18"/>
      <c r="I294" s="14"/>
      <c r="J294" s="15"/>
    </row>
    <row r="295" spans="2:10" ht="17" hidden="1" customHeight="1" outlineLevel="1">
      <c r="B295" s="16"/>
      <c r="C295" s="339" t="s">
        <v>937</v>
      </c>
      <c r="D295" s="339" t="s">
        <v>309</v>
      </c>
      <c r="E295" s="339" t="s">
        <v>953</v>
      </c>
      <c r="F295" s="339" t="s">
        <v>954</v>
      </c>
      <c r="G295" s="339" t="str">
        <f>"Cost ($/"&amp;OutMassUnit&amp;" catalyst)"</f>
        <v>Cost ($/lb catalyst)</v>
      </c>
      <c r="H295" s="339"/>
      <c r="I295" s="339" t="s">
        <v>207</v>
      </c>
      <c r="J295" s="250"/>
    </row>
    <row r="296" spans="2:10" ht="16" hidden="1" customHeight="1" outlineLevel="1">
      <c r="B296" s="16"/>
      <c r="C296" s="349" t="s">
        <v>926</v>
      </c>
      <c r="D296" s="350">
        <f>1*IF($D$6&lt;5,0,IF($D$6&lt;70,1,1))</f>
        <v>1</v>
      </c>
      <c r="E296" s="342" t="str">
        <f>IF(ISBLANK(C296),"",IFERROR(IF(fnStepCostHourly=0,fnStepNotAvail,IF(ISBLANK(D296),"",fnStepCostHourly*$D296*VLOOKUP(BasisYear,ChemPPI[],14,FALSE)/VLOOKUP(2017,ChemPPI[],14,FALSE))),""))</f>
        <v/>
      </c>
      <c r="F296" s="342" t="str">
        <f t="shared" ref="F296:F315" si="16">IFERROR($E296*$D$9*24,$E296)</f>
        <v/>
      </c>
      <c r="G296" s="341" t="str">
        <f t="shared" ref="G296:G315" si="17">IFERROR($F296/$D$7,$F296)</f>
        <v/>
      </c>
      <c r="H296" s="248"/>
      <c r="I296" s="247" t="str">
        <f>IFERROR(VLOOKUP($C296,Steps[],5,FALSE),"")</f>
        <v>Substitute with plate and frame at small scale</v>
      </c>
      <c r="J296" s="251"/>
    </row>
    <row r="297" spans="2:10" ht="16" hidden="1" customHeight="1" outlineLevel="1">
      <c r="B297" s="16"/>
      <c r="C297" s="349" t="s">
        <v>928</v>
      </c>
      <c r="D297" s="350">
        <f>1*IF($D$6&lt;5,1,IF($D$6&lt;70,0,0))</f>
        <v>0</v>
      </c>
      <c r="E297" s="342" t="str">
        <f>IF(ISBLANK(C297),"",IFERROR(IF(fnStepCostHourly=0,fnStepNotAvail,IF(ISBLANK(D297),"",fnStepCostHourly*$D297*VLOOKUP(BasisYear,ChemPPI[],14,FALSE)/VLOOKUP(2017,ChemPPI[],14,FALSE))),""))</f>
        <v/>
      </c>
      <c r="F297" s="342" t="str">
        <f t="shared" si="16"/>
        <v/>
      </c>
      <c r="G297" s="341" t="str">
        <f t="shared" si="17"/>
        <v/>
      </c>
      <c r="H297" s="248"/>
      <c r="I297" s="247" t="str">
        <f>IFERROR(VLOOKUP($C297,Steps[],5,FALSE),"")</f>
        <v>Substitute with belt or rotary vacuum at M/L scale</v>
      </c>
      <c r="J297" s="251"/>
    </row>
    <row r="298" spans="2:10" ht="16" hidden="1" customHeight="1" outlineLevel="1">
      <c r="B298" s="16"/>
      <c r="C298" s="69" t="s">
        <v>943</v>
      </c>
      <c r="D298" s="246">
        <v>1</v>
      </c>
      <c r="E298" s="342" t="str">
        <f>IF(ISBLANK(C298),"",IFERROR(IF(fnStepCostHourly=0,fnStepNotAvail,IF(ISBLANK(D298),"",fnStepCostHourly*$D298*VLOOKUP(BasisYear,ChemPPI[],14,FALSE)/VLOOKUP(2017,ChemPPI[],14,FALSE))),""))</f>
        <v/>
      </c>
      <c r="F298" s="342" t="str">
        <f t="shared" si="16"/>
        <v/>
      </c>
      <c r="G298" s="341" t="str">
        <f t="shared" si="17"/>
        <v/>
      </c>
      <c r="H298" s="248"/>
      <c r="I298" s="247" t="str">
        <f>IFERROR(VLOOKUP($C298,Steps[],5,FALSE),"")</f>
        <v>Muller</v>
      </c>
      <c r="J298" s="251"/>
    </row>
    <row r="299" spans="2:10" ht="16" hidden="1" customHeight="1" outlineLevel="1">
      <c r="B299" s="16"/>
      <c r="C299" s="349" t="s">
        <v>933</v>
      </c>
      <c r="D299" s="350">
        <f>1*IF($D$6&lt;5,0,IF($D$6&lt;70,1,1))</f>
        <v>1</v>
      </c>
      <c r="E299" s="342" t="str">
        <f>IF(ISBLANK(C299),"",IFERROR(IF(fnStepCostHourly=0,fnStepNotAvail,IF(ISBLANK(D299),"",fnStepCostHourly*$D299*VLOOKUP(BasisYear,ChemPPI[],14,FALSE)/VLOOKUP(2017,ChemPPI[],14,FALSE))),""))</f>
        <v/>
      </c>
      <c r="F299" s="342" t="str">
        <f t="shared" si="16"/>
        <v/>
      </c>
      <c r="G299" s="341" t="str">
        <f t="shared" si="17"/>
        <v/>
      </c>
      <c r="H299" s="248"/>
      <c r="I299" s="247" t="str">
        <f>IFERROR(VLOOKUP($C299,Steps[],5,FALSE),"")</f>
        <v>Substitute with rotary dryer at small scale</v>
      </c>
      <c r="J299" s="251"/>
    </row>
    <row r="300" spans="2:10" ht="16" hidden="1" customHeight="1" outlineLevel="1">
      <c r="B300" s="16"/>
      <c r="C300" s="349" t="s">
        <v>1076</v>
      </c>
      <c r="D300" s="350">
        <f>1*IF($D$6&lt;5,1,IF($D$6&lt;70,0,0))</f>
        <v>0</v>
      </c>
      <c r="E300" s="342" t="str">
        <f>IF(ISBLANK(C300),"",IFERROR(IF(fnStepCostHourly=0,fnStepNotAvail,IF(ISBLANK(D300),"",fnStepCostHourly*$D300*VLOOKUP(BasisYear,ChemPPI[],14,FALSE)/VLOOKUP(2017,ChemPPI[],14,FALSE))),""))</f>
        <v/>
      </c>
      <c r="F300" s="342" t="str">
        <f t="shared" si="16"/>
        <v/>
      </c>
      <c r="G300" s="341" t="str">
        <f t="shared" si="17"/>
        <v/>
      </c>
      <c r="H300" s="248"/>
      <c r="I300" s="247" t="str">
        <f>IFERROR(VLOOKUP($C300,Steps[],5,FALSE),"")</f>
        <v>-</v>
      </c>
      <c r="J300" s="251"/>
    </row>
    <row r="301" spans="2:10" ht="16" hidden="1" customHeight="1" outlineLevel="1">
      <c r="B301" s="16"/>
      <c r="C301" s="69" t="s">
        <v>944</v>
      </c>
      <c r="D301" s="246">
        <v>1</v>
      </c>
      <c r="E301" s="342" t="str">
        <f>IF(ISBLANK(C301),"",IFERROR(IF(fnStepCostHourly=0,fnStepNotAvail,IF(ISBLANK(D301),"",fnStepCostHourly*$D301*VLOOKUP(BasisYear,ChemPPI[],14,FALSE)/VLOOKUP(2017,ChemPPI[],14,FALSE))),""))</f>
        <v/>
      </c>
      <c r="F301" s="342" t="str">
        <f t="shared" si="16"/>
        <v/>
      </c>
      <c r="G301" s="341" t="str">
        <f t="shared" si="17"/>
        <v/>
      </c>
      <c r="H301" s="248"/>
      <c r="I301" s="247" t="str">
        <f>IFERROR(VLOOKUP($C301,Steps[],5,FALSE),"")</f>
        <v>Bonnot</v>
      </c>
      <c r="J301" s="251"/>
    </row>
    <row r="302" spans="2:10" ht="16" hidden="1" customHeight="1" outlineLevel="1">
      <c r="B302" s="351"/>
      <c r="C302" s="349" t="s">
        <v>946</v>
      </c>
      <c r="D302" s="350">
        <f>1*IF($D$6&lt;5,0,IF($D$6&lt;70,1,1))</f>
        <v>1</v>
      </c>
      <c r="E302" s="342" t="str">
        <f>IF(ISBLANK(C302),"",IFERROR(IF(fnStepCostHourly=0,fnStepNotAvail,IF(ISBLANK(D302),"",fnStepCostHourly*$D302*VLOOKUP(BasisYear,ChemPPI[],14,FALSE)/VLOOKUP(2017,ChemPPI[],14,FALSE))),""))</f>
        <v/>
      </c>
      <c r="F302" s="342" t="str">
        <f t="shared" si="16"/>
        <v/>
      </c>
      <c r="G302" s="341" t="str">
        <f t="shared" si="17"/>
        <v/>
      </c>
      <c r="H302" s="248"/>
      <c r="I302" s="247" t="str">
        <f>IFERROR(VLOOKUP($C302,Steps[],5,FALSE),"")</f>
        <v>A.k.a. calciner. Sub with batch kiln at small scale</v>
      </c>
      <c r="J302" s="251"/>
    </row>
    <row r="303" spans="2:10" ht="16" hidden="1" customHeight="1" outlineLevel="1">
      <c r="B303" s="16"/>
      <c r="C303" s="349" t="s">
        <v>948</v>
      </c>
      <c r="D303" s="350">
        <f>1*IF($D$6&lt;5,1,IF($D$6&lt;70,0,0))</f>
        <v>0</v>
      </c>
      <c r="E303" s="342" t="str">
        <f>IF(ISBLANK(C303),"",IFERROR(IF(fnStepCostHourly=0,fnStepNotAvail,IF(ISBLANK(D303),"",fnStepCostHourly*$D303*VLOOKUP(BasisYear,ChemPPI[],14,FALSE)/VLOOKUP(2017,ChemPPI[],14,FALSE))),""))</f>
        <v/>
      </c>
      <c r="F303" s="342" t="str">
        <f t="shared" si="16"/>
        <v/>
      </c>
      <c r="G303" s="341" t="str">
        <f t="shared" si="17"/>
        <v/>
      </c>
      <c r="H303" s="248"/>
      <c r="I303" s="247" t="str">
        <f>IFERROR(VLOOKUP($C303,Steps[],5,FALSE),"")</f>
        <v>A.k.a. calciner. Sub with continuous kiln at M/L scale</v>
      </c>
      <c r="J303" s="251"/>
    </row>
    <row r="304" spans="2:10" ht="16" hidden="1" customHeight="1" outlineLevel="1">
      <c r="B304" s="16"/>
      <c r="C304" s="69"/>
      <c r="D304" s="246"/>
      <c r="E304" s="342" t="str">
        <f>IF(ISBLANK(C304),"",IFERROR(IF(fnStepCostHourly=0,fnStepNotAvail,IF(ISBLANK(D304),"",fnStepCostHourly*$D304*VLOOKUP(BasisYear,ChemPPI[],14,FALSE)/VLOOKUP(2017,ChemPPI[],14,FALSE))),""))</f>
        <v/>
      </c>
      <c r="F304" s="342" t="str">
        <f t="shared" si="16"/>
        <v/>
      </c>
      <c r="G304" s="341" t="str">
        <f t="shared" si="17"/>
        <v/>
      </c>
      <c r="H304" s="248"/>
      <c r="I304" s="247" t="str">
        <f>IFERROR(VLOOKUP($C304,Steps[],5,FALSE),"")</f>
        <v/>
      </c>
      <c r="J304" s="251"/>
    </row>
    <row r="305" spans="1:10" ht="16" hidden="1" customHeight="1" outlineLevel="1">
      <c r="B305" s="16"/>
      <c r="C305" s="69"/>
      <c r="D305" s="246"/>
      <c r="E305" s="342" t="str">
        <f>IF(ISBLANK(C305),"",IFERROR(IF(fnStepCostHourly=0,fnStepNotAvail,IF(ISBLANK(D305),"",fnStepCostHourly*$D305*VLOOKUP(BasisYear,ChemPPI[],14,FALSE)/VLOOKUP(2017,ChemPPI[],14,FALSE))),""))</f>
        <v/>
      </c>
      <c r="F305" s="342" t="str">
        <f t="shared" si="16"/>
        <v/>
      </c>
      <c r="G305" s="341" t="str">
        <f t="shared" si="17"/>
        <v/>
      </c>
      <c r="H305" s="248"/>
      <c r="I305" s="247" t="str">
        <f>IFERROR(VLOOKUP($C305,Steps[],5,FALSE),"")</f>
        <v/>
      </c>
      <c r="J305" s="251"/>
    </row>
    <row r="306" spans="1:10" ht="16" hidden="1" customHeight="1" outlineLevel="1">
      <c r="B306" s="16"/>
      <c r="C306" s="69"/>
      <c r="D306" s="246"/>
      <c r="E306" s="342" t="str">
        <f>IF(ISBLANK(C306),"",IFERROR(IF(fnStepCostHourly=0,fnStepNotAvail,IF(ISBLANK(D306),"",fnStepCostHourly*$D306*VLOOKUP(BasisYear,ChemPPI[],14,FALSE)/VLOOKUP(2017,ChemPPI[],14,FALSE))),""))</f>
        <v/>
      </c>
      <c r="F306" s="342" t="str">
        <f t="shared" si="16"/>
        <v/>
      </c>
      <c r="G306" s="341" t="str">
        <f t="shared" si="17"/>
        <v/>
      </c>
      <c r="H306" s="248"/>
      <c r="I306" s="247" t="str">
        <f>IFERROR(VLOOKUP($C306,Steps[],5,FALSE),"")</f>
        <v/>
      </c>
      <c r="J306" s="251"/>
    </row>
    <row r="307" spans="1:10" ht="16" hidden="1" customHeight="1" outlineLevel="1">
      <c r="B307" s="16"/>
      <c r="C307" s="69"/>
      <c r="D307" s="246"/>
      <c r="E307" s="342" t="str">
        <f>IF(ISBLANK(C307),"",IFERROR(IF(fnStepCostHourly=0,fnStepNotAvail,IF(ISBLANK(D307),"",fnStepCostHourly*$D307*VLOOKUP(BasisYear,ChemPPI[],14,FALSE)/VLOOKUP(2017,ChemPPI[],14,FALSE))),""))</f>
        <v/>
      </c>
      <c r="F307" s="342" t="str">
        <f t="shared" si="16"/>
        <v/>
      </c>
      <c r="G307" s="341" t="str">
        <f t="shared" si="17"/>
        <v/>
      </c>
      <c r="H307" s="248"/>
      <c r="I307" s="247" t="str">
        <f>IFERROR(VLOOKUP($C307,Steps[],5,FALSE),"")</f>
        <v/>
      </c>
      <c r="J307" s="251"/>
    </row>
    <row r="308" spans="1:10" ht="16" hidden="1" customHeight="1" outlineLevel="1">
      <c r="B308" s="16"/>
      <c r="C308" s="69"/>
      <c r="D308" s="246"/>
      <c r="E308" s="342" t="str">
        <f>IF(ISBLANK(C308),"",IFERROR(IF(fnStepCostHourly=0,fnStepNotAvail,IF(ISBLANK(D308),"",fnStepCostHourly*$D308*VLOOKUP(BasisYear,ChemPPI[],14,FALSE)/VLOOKUP(2017,ChemPPI[],14,FALSE))),""))</f>
        <v/>
      </c>
      <c r="F308" s="342" t="str">
        <f t="shared" si="16"/>
        <v/>
      </c>
      <c r="G308" s="341" t="str">
        <f t="shared" si="17"/>
        <v/>
      </c>
      <c r="H308" s="248"/>
      <c r="I308" s="247" t="str">
        <f>IFERROR(VLOOKUP($C308,Steps[],5,FALSE),"")</f>
        <v/>
      </c>
      <c r="J308" s="251"/>
    </row>
    <row r="309" spans="1:10" ht="16" hidden="1" customHeight="1" outlineLevel="1">
      <c r="B309" s="16"/>
      <c r="C309" s="69"/>
      <c r="D309" s="246"/>
      <c r="E309" s="342" t="str">
        <f>IF(ISBLANK(C309),"",IFERROR(IF(fnStepCostHourly=0,fnStepNotAvail,IF(ISBLANK(D309),"",fnStepCostHourly*$D309*VLOOKUP(BasisYear,ChemPPI[],14,FALSE)/VLOOKUP(2017,ChemPPI[],14,FALSE))),""))</f>
        <v/>
      </c>
      <c r="F309" s="342" t="str">
        <f t="shared" si="16"/>
        <v/>
      </c>
      <c r="G309" s="341" t="str">
        <f t="shared" si="17"/>
        <v/>
      </c>
      <c r="H309" s="248"/>
      <c r="I309" s="247" t="str">
        <f>IFERROR(VLOOKUP($C309,Steps[],5,FALSE),"")</f>
        <v/>
      </c>
      <c r="J309" s="251"/>
    </row>
    <row r="310" spans="1:10" ht="16" hidden="1" customHeight="1" outlineLevel="1">
      <c r="B310" s="16"/>
      <c r="C310" s="69"/>
      <c r="D310" s="246"/>
      <c r="E310" s="342" t="str">
        <f>IF(ISBLANK(C310),"",IFERROR(IF(fnStepCostHourly=0,fnStepNotAvail,IF(ISBLANK(D310),"",fnStepCostHourly*$D310*VLOOKUP(BasisYear,ChemPPI[],14,FALSE)/VLOOKUP(2017,ChemPPI[],14,FALSE))),""))</f>
        <v/>
      </c>
      <c r="F310" s="342" t="str">
        <f t="shared" si="16"/>
        <v/>
      </c>
      <c r="G310" s="341" t="str">
        <f t="shared" si="17"/>
        <v/>
      </c>
      <c r="H310" s="248"/>
      <c r="I310" s="247" t="str">
        <f>IFERROR(VLOOKUP($C310,Steps[],5,FALSE),"")</f>
        <v/>
      </c>
      <c r="J310" s="251"/>
    </row>
    <row r="311" spans="1:10" ht="16" hidden="1" customHeight="1" outlineLevel="1">
      <c r="B311" s="16"/>
      <c r="C311" s="69"/>
      <c r="D311" s="246"/>
      <c r="E311" s="342" t="str">
        <f>IF(ISBLANK(C311),"",IFERROR(IF(fnStepCostHourly=0,fnStepNotAvail,IF(ISBLANK(D311),"",fnStepCostHourly*$D311*VLOOKUP(BasisYear,ChemPPI[],14,FALSE)/VLOOKUP(2017,ChemPPI[],14,FALSE))),""))</f>
        <v/>
      </c>
      <c r="F311" s="342" t="str">
        <f t="shared" si="16"/>
        <v/>
      </c>
      <c r="G311" s="341" t="str">
        <f t="shared" si="17"/>
        <v/>
      </c>
      <c r="H311" s="248"/>
      <c r="I311" s="247" t="str">
        <f>IFERROR(VLOOKUP($C311,Steps[],5,FALSE),"")</f>
        <v/>
      </c>
      <c r="J311" s="251"/>
    </row>
    <row r="312" spans="1:10" ht="16" hidden="1" customHeight="1" outlineLevel="1">
      <c r="B312" s="16"/>
      <c r="C312" s="69"/>
      <c r="D312" s="246"/>
      <c r="E312" s="342" t="str">
        <f>IF(ISBLANK(C312),"",IFERROR(IF(fnStepCostHourly=0,fnStepNotAvail,IF(ISBLANK(D312),"",fnStepCostHourly*$D312*VLOOKUP(BasisYear,ChemPPI[],14,FALSE)/VLOOKUP(2017,ChemPPI[],14,FALSE))),""))</f>
        <v/>
      </c>
      <c r="F312" s="342" t="str">
        <f t="shared" si="16"/>
        <v/>
      </c>
      <c r="G312" s="341" t="str">
        <f t="shared" si="17"/>
        <v/>
      </c>
      <c r="H312" s="248"/>
      <c r="I312" s="247" t="str">
        <f>IFERROR(VLOOKUP($C312,Steps[],5,FALSE),"")</f>
        <v/>
      </c>
      <c r="J312" s="251"/>
    </row>
    <row r="313" spans="1:10" ht="16" hidden="1" customHeight="1" outlineLevel="1">
      <c r="B313" s="16"/>
      <c r="C313" s="69"/>
      <c r="D313" s="246"/>
      <c r="E313" s="342" t="str">
        <f>IF(ISBLANK(C313),"",IFERROR(IF(fnStepCostHourly=0,fnStepNotAvail,IF(ISBLANK(D313),"",fnStepCostHourly*$D313*VLOOKUP(BasisYear,ChemPPI[],14,FALSE)/VLOOKUP(2017,ChemPPI[],14,FALSE))),""))</f>
        <v/>
      </c>
      <c r="F313" s="342" t="str">
        <f t="shared" si="16"/>
        <v/>
      </c>
      <c r="G313" s="341" t="str">
        <f t="shared" si="17"/>
        <v/>
      </c>
      <c r="H313" s="248"/>
      <c r="I313" s="247" t="str">
        <f>IFERROR(VLOOKUP($C313,Steps[],5,FALSE),"")</f>
        <v/>
      </c>
      <c r="J313" s="251"/>
    </row>
    <row r="314" spans="1:10" ht="16" hidden="1" customHeight="1" outlineLevel="1">
      <c r="B314" s="16"/>
      <c r="C314" s="69"/>
      <c r="D314" s="246"/>
      <c r="E314" s="342" t="str">
        <f>IF(ISBLANK(C314),"",IFERROR(IF(fnStepCostHourly=0,fnStepNotAvail,IF(ISBLANK(D314),"",fnStepCostHourly*$D314*VLOOKUP(BasisYear,ChemPPI[],14,FALSE)/VLOOKUP(2017,ChemPPI[],14,FALSE))),""))</f>
        <v/>
      </c>
      <c r="F314" s="342" t="str">
        <f t="shared" si="16"/>
        <v/>
      </c>
      <c r="G314" s="341" t="str">
        <f t="shared" si="17"/>
        <v/>
      </c>
      <c r="H314" s="248"/>
      <c r="I314" s="247" t="str">
        <f>IFERROR(VLOOKUP($C314,Steps[],5,FALSE),"")</f>
        <v/>
      </c>
      <c r="J314" s="251"/>
    </row>
    <row r="315" spans="1:10" ht="16" hidden="1" customHeight="1" outlineLevel="1">
      <c r="B315" s="16"/>
      <c r="C315" s="69"/>
      <c r="D315" s="246"/>
      <c r="E315" s="342" t="str">
        <f>IF(ISBLANK(C315),"",IFERROR(IF(fnStepCostHourly=0,fnStepNotAvail,IF(ISBLANK(D315),"",fnStepCostHourly*$D315*VLOOKUP(BasisYear,ChemPPI[],14,FALSE)/VLOOKUP(2017,ChemPPI[],14,FALSE))),""))</f>
        <v/>
      </c>
      <c r="F315" s="342" t="str">
        <f t="shared" si="16"/>
        <v/>
      </c>
      <c r="G315" s="341" t="str">
        <f t="shared" si="17"/>
        <v/>
      </c>
      <c r="H315" s="248"/>
      <c r="I315" s="247" t="str">
        <f>IFERROR(VLOOKUP($C315,Steps[],5,FALSE),"")</f>
        <v/>
      </c>
      <c r="J315" s="251"/>
    </row>
    <row r="316" spans="1:10" ht="17" hidden="1" outlineLevel="1" thickBot="1">
      <c r="B316" s="252"/>
      <c r="C316" s="253"/>
      <c r="D316" s="253"/>
      <c r="E316" s="253"/>
      <c r="F316" s="253"/>
      <c r="G316" s="253"/>
      <c r="H316" s="253"/>
      <c r="I316" s="253"/>
      <c r="J316" s="254"/>
    </row>
    <row r="317" spans="1:10" ht="17" collapsed="1" thickBot="1">
      <c r="A317" s="314" t="str">
        <f>"&lt;– show/hide "&amp;B285</f>
        <v>&lt;– show/hide Step Process Template: Red Mud</v>
      </c>
    </row>
    <row r="318" spans="1:10" ht="21" thickBot="1">
      <c r="B318" s="355" t="str">
        <f>"Step Process Template: "&amp;C321</f>
        <v>Step Process Template: Zeolite Beta (Bulk)</v>
      </c>
      <c r="C318" s="356"/>
      <c r="D318" s="356"/>
      <c r="E318" s="356"/>
      <c r="F318" s="356"/>
      <c r="G318" s="356"/>
      <c r="H318" s="357"/>
    </row>
    <row r="319" spans="1:10" hidden="1" outlineLevel="1">
      <c r="B319" s="13"/>
      <c r="C319" s="14"/>
      <c r="D319" s="14"/>
      <c r="E319" s="14"/>
      <c r="F319" s="14"/>
      <c r="G319" s="14"/>
      <c r="H319" s="15"/>
      <c r="J319" s="201"/>
    </row>
    <row r="320" spans="1:10" hidden="1" outlineLevel="1">
      <c r="B320" s="16"/>
      <c r="C320" s="17" t="s">
        <v>1055</v>
      </c>
      <c r="D320" s="256" t="s">
        <v>961</v>
      </c>
      <c r="E320" s="64" t="s">
        <v>953</v>
      </c>
      <c r="F320" s="64" t="s">
        <v>954</v>
      </c>
      <c r="G320" s="64" t="str">
        <f>"Cost ($/"&amp;OutMassUnit&amp;" catalyst)"</f>
        <v>Cost ($/lb catalyst)</v>
      </c>
      <c r="H320" s="250"/>
      <c r="J320" s="201"/>
    </row>
    <row r="321" spans="2:10" ht="16" hidden="1" customHeight="1" outlineLevel="1">
      <c r="B321" s="16"/>
      <c r="C321" s="18" t="s">
        <v>1092</v>
      </c>
      <c r="D321" s="256"/>
      <c r="E321" s="344">
        <f>SUM(E329:E350)</f>
        <v>0</v>
      </c>
      <c r="F321" s="344">
        <f>SUM(F329:F350)</f>
        <v>0</v>
      </c>
      <c r="G321" s="343">
        <f>SUM(G329:G350)</f>
        <v>0</v>
      </c>
      <c r="H321" s="336"/>
      <c r="J321" s="201"/>
    </row>
    <row r="322" spans="2:10" ht="16" hidden="1" customHeight="1" outlineLevel="1">
      <c r="B322" s="16"/>
      <c r="C322" s="353" t="str">
        <f>"Name: "&amp;C321</f>
        <v>Name: Zeolite Beta (Bulk)</v>
      </c>
      <c r="D322" s="256"/>
      <c r="E322" s="347"/>
      <c r="F322" s="347"/>
      <c r="G322" s="348"/>
      <c r="H322" s="336"/>
      <c r="J322" s="201"/>
    </row>
    <row r="323" spans="2:10" ht="16" hidden="1" customHeight="1" outlineLevel="1">
      <c r="B323" s="16"/>
      <c r="C323" s="17" t="s">
        <v>1070</v>
      </c>
      <c r="D323" s="256"/>
      <c r="E323" s="347"/>
      <c r="F323" s="347"/>
      <c r="G323" s="348"/>
      <c r="H323" s="336"/>
      <c r="J323" s="201"/>
    </row>
    <row r="324" spans="2:10" ht="16" hidden="1" customHeight="1" outlineLevel="1">
      <c r="B324" s="16"/>
      <c r="C324" s="18" t="s">
        <v>1093</v>
      </c>
      <c r="D324" s="256"/>
      <c r="E324" s="347"/>
      <c r="F324" s="347"/>
      <c r="G324" s="348"/>
      <c r="H324" s="336"/>
      <c r="J324" s="201"/>
    </row>
    <row r="325" spans="2:10" ht="16" hidden="1" customHeight="1" outlineLevel="1">
      <c r="B325" s="16"/>
      <c r="C325" s="18" t="s">
        <v>1073</v>
      </c>
      <c r="D325" s="256"/>
      <c r="E325" s="347"/>
      <c r="F325" s="347"/>
      <c r="G325" s="348"/>
      <c r="H325" s="336"/>
      <c r="J325" s="201"/>
    </row>
    <row r="326" spans="2:10" ht="17" hidden="1" outlineLevel="1" thickBot="1">
      <c r="B326" s="21"/>
      <c r="C326" s="22"/>
      <c r="D326" s="22"/>
      <c r="E326" s="22"/>
      <c r="F326" s="22"/>
      <c r="G326" s="22"/>
      <c r="H326" s="23"/>
      <c r="J326" s="201"/>
    </row>
    <row r="327" spans="2:10" ht="16" hidden="1" customHeight="1" outlineLevel="1">
      <c r="B327" s="16"/>
      <c r="C327" s="18"/>
      <c r="D327" s="18"/>
      <c r="E327" s="18"/>
      <c r="F327" s="18"/>
      <c r="G327" s="18"/>
      <c r="H327" s="18"/>
      <c r="I327" s="14"/>
      <c r="J327" s="15"/>
    </row>
    <row r="328" spans="2:10" ht="17" hidden="1" customHeight="1" outlineLevel="1">
      <c r="B328" s="16"/>
      <c r="C328" s="339" t="s">
        <v>937</v>
      </c>
      <c r="D328" s="339" t="s">
        <v>309</v>
      </c>
      <c r="E328" s="339" t="s">
        <v>953</v>
      </c>
      <c r="F328" s="339" t="s">
        <v>954</v>
      </c>
      <c r="G328" s="339" t="str">
        <f>"Cost ($/"&amp;OutMassUnit&amp;" catalyst)"</f>
        <v>Cost ($/lb catalyst)</v>
      </c>
      <c r="H328" s="339"/>
      <c r="I328" s="339" t="s">
        <v>207</v>
      </c>
      <c r="J328" s="250"/>
    </row>
    <row r="329" spans="2:10" ht="16" hidden="1" customHeight="1" outlineLevel="1">
      <c r="B329" s="16"/>
      <c r="C329" s="69" t="s">
        <v>931</v>
      </c>
      <c r="D329" s="246">
        <v>1</v>
      </c>
      <c r="E329" s="342" t="str">
        <f>IF(ISBLANK(C329),"",IFERROR(IF(fnStepCostHourly=0,fnStepNotAvail,IF(ISBLANK(D329),"",fnStepCostHourly*$D329*VLOOKUP(BasisYear,ChemPPI[],14,FALSE)/VLOOKUP(2017,ChemPPI[],14,FALSE))),""))</f>
        <v/>
      </c>
      <c r="F329" s="342" t="str">
        <f t="shared" ref="F329:F350" si="18">IFERROR($E329*$D$9*24,$E329)</f>
        <v/>
      </c>
      <c r="G329" s="341" t="str">
        <f t="shared" ref="G329:G350" si="19">IFERROR($F329/$D$7,$F329)</f>
        <v/>
      </c>
      <c r="H329" s="248"/>
      <c r="I329" s="247" t="str">
        <f>IFERROR(VLOOKUP($C329,Steps[],5,FALSE),"")</f>
        <v>-</v>
      </c>
      <c r="J329" s="251"/>
    </row>
    <row r="330" spans="2:10" ht="16" hidden="1" customHeight="1" outlineLevel="1">
      <c r="B330" s="16"/>
      <c r="C330" s="69" t="s">
        <v>924</v>
      </c>
      <c r="D330" s="246">
        <v>2</v>
      </c>
      <c r="E330" s="342" t="str">
        <f>IF(ISBLANK(C330),"",IFERROR(IF(fnStepCostHourly=0,fnStepNotAvail,IF(ISBLANK(D330),"",fnStepCostHourly*$D330*VLOOKUP(BasisYear,ChemPPI[],14,FALSE)/VLOOKUP(2017,ChemPPI[],14,FALSE))),""))</f>
        <v/>
      </c>
      <c r="F330" s="342" t="str">
        <f t="shared" si="18"/>
        <v/>
      </c>
      <c r="G330" s="341" t="str">
        <f t="shared" si="19"/>
        <v/>
      </c>
      <c r="H330" s="248"/>
      <c r="I330" s="247" t="str">
        <f>IFERROR(VLOOKUP($C330,Steps[],5,FALSE),"")</f>
        <v>-</v>
      </c>
      <c r="J330" s="251"/>
    </row>
    <row r="331" spans="2:10" ht="16" hidden="1" customHeight="1" outlineLevel="1">
      <c r="B331" s="16"/>
      <c r="C331" s="69" t="s">
        <v>931</v>
      </c>
      <c r="D331" s="246">
        <v>1</v>
      </c>
      <c r="E331" s="342" t="str">
        <f>IF(ISBLANK(C331),"",IFERROR(IF(fnStepCostHourly=0,fnStepNotAvail,IF(ISBLANK(D331),"",fnStepCostHourly*$D331*VLOOKUP(BasisYear,ChemPPI[],14,FALSE)/VLOOKUP(2017,ChemPPI[],14,FALSE))),""))</f>
        <v/>
      </c>
      <c r="F331" s="342" t="str">
        <f t="shared" si="18"/>
        <v/>
      </c>
      <c r="G331" s="341" t="str">
        <f t="shared" si="19"/>
        <v/>
      </c>
      <c r="H331" s="248"/>
      <c r="I331" s="247" t="str">
        <f>IFERROR(VLOOKUP($C331,Steps[],5,FALSE),"")</f>
        <v>-</v>
      </c>
      <c r="J331" s="251"/>
    </row>
    <row r="332" spans="2:10" ht="16" hidden="1" customHeight="1" outlineLevel="1">
      <c r="B332" s="16"/>
      <c r="C332" s="349" t="s">
        <v>926</v>
      </c>
      <c r="D332" s="350">
        <f>1*IF($D$6&lt;5,0,IF($D$6&lt;70,1,1))</f>
        <v>1</v>
      </c>
      <c r="E332" s="342" t="str">
        <f>IF(ISBLANK(C332),"",IFERROR(IF(fnStepCostHourly=0,fnStepNotAvail,IF(ISBLANK(D332),"",fnStepCostHourly*$D332*VLOOKUP(BasisYear,ChemPPI[],14,FALSE)/VLOOKUP(2017,ChemPPI[],14,FALSE))),""))</f>
        <v/>
      </c>
      <c r="F332" s="342" t="str">
        <f t="shared" si="18"/>
        <v/>
      </c>
      <c r="G332" s="341" t="str">
        <f t="shared" si="19"/>
        <v/>
      </c>
      <c r="H332" s="248"/>
      <c r="I332" s="247" t="str">
        <f>IFERROR(VLOOKUP($C332,Steps[],5,FALSE),"")</f>
        <v>Substitute with plate and frame at small scale</v>
      </c>
      <c r="J332" s="251"/>
    </row>
    <row r="333" spans="2:10" ht="16" hidden="1" customHeight="1" outlineLevel="1">
      <c r="B333" s="16"/>
      <c r="C333" s="349" t="s">
        <v>928</v>
      </c>
      <c r="D333" s="350">
        <f>1*IF($D$6&lt;5,1,IF($D$6&lt;70,0,0))</f>
        <v>0</v>
      </c>
      <c r="E333" s="342" t="str">
        <f>IF(ISBLANK(C333),"",IFERROR(IF(fnStepCostHourly=0,fnStepNotAvail,IF(ISBLANK(D333),"",fnStepCostHourly*$D333*VLOOKUP(BasisYear,ChemPPI[],14,FALSE)/VLOOKUP(2017,ChemPPI[],14,FALSE))),""))</f>
        <v/>
      </c>
      <c r="F333" s="342" t="str">
        <f t="shared" si="18"/>
        <v/>
      </c>
      <c r="G333" s="341" t="str">
        <f t="shared" si="19"/>
        <v/>
      </c>
      <c r="H333" s="248"/>
      <c r="I333" s="247" t="str">
        <f>IFERROR(VLOOKUP($C333,Steps[],5,FALSE),"")</f>
        <v>Substitute with belt or rotary vacuum at M/L scale</v>
      </c>
      <c r="J333" s="251"/>
    </row>
    <row r="334" spans="2:10" ht="16" hidden="1" customHeight="1" outlineLevel="1">
      <c r="B334" s="16"/>
      <c r="C334" s="69" t="s">
        <v>1075</v>
      </c>
      <c r="D334" s="246">
        <v>1</v>
      </c>
      <c r="E334" s="342" t="str">
        <f>IF(ISBLANK(C334),"",IFERROR(IF(fnStepCostHourly=0,fnStepNotAvail,IF(ISBLANK(D334),"",fnStepCostHourly*$D334*VLOOKUP(BasisYear,ChemPPI[],14,FALSE)/VLOOKUP(2017,ChemPPI[],14,FALSE))),""))</f>
        <v/>
      </c>
      <c r="F334" s="342" t="str">
        <f t="shared" si="18"/>
        <v/>
      </c>
      <c r="G334" s="341" t="str">
        <f t="shared" si="19"/>
        <v/>
      </c>
      <c r="H334" s="248"/>
      <c r="I334" s="247" t="str">
        <f>IFERROR(VLOOKUP($C334,Steps[],5,FALSE),"")</f>
        <v>For higher temp use kiln</v>
      </c>
      <c r="J334" s="251"/>
    </row>
    <row r="335" spans="2:10" ht="16" hidden="1" customHeight="1" outlineLevel="1">
      <c r="B335" s="16"/>
      <c r="C335" s="349" t="s">
        <v>946</v>
      </c>
      <c r="D335" s="350">
        <f>1*IF($D$6&lt;5,0,IF($D$6&lt;70,1,1))</f>
        <v>1</v>
      </c>
      <c r="E335" s="342" t="str">
        <f>IF(ISBLANK(C335),"",IFERROR(IF(fnStepCostHourly=0,fnStepNotAvail,IF(ISBLANK(D335),"",fnStepCostHourly*$D335*VLOOKUP(BasisYear,ChemPPI[],14,FALSE)/VLOOKUP(2017,ChemPPI[],14,FALSE))),""))</f>
        <v/>
      </c>
      <c r="F335" s="342" t="str">
        <f t="shared" si="18"/>
        <v/>
      </c>
      <c r="G335" s="341" t="str">
        <f t="shared" si="19"/>
        <v/>
      </c>
      <c r="H335" s="248"/>
      <c r="I335" s="247" t="str">
        <f>IFERROR(VLOOKUP($C335,Steps[],5,FALSE),"")</f>
        <v>A.k.a. calciner. Sub with batch kiln at small scale</v>
      </c>
      <c r="J335" s="251"/>
    </row>
    <row r="336" spans="2:10" ht="16" hidden="1" customHeight="1" outlineLevel="1">
      <c r="B336" s="16"/>
      <c r="C336" s="349" t="s">
        <v>948</v>
      </c>
      <c r="D336" s="350">
        <f>1*IF($D$6&lt;5,1,IF($D$6&lt;70,0,0))</f>
        <v>0</v>
      </c>
      <c r="E336" s="342" t="str">
        <f>IF(ISBLANK(C336),"",IFERROR(IF(fnStepCostHourly=0,fnStepNotAvail,IF(ISBLANK(D336),"",fnStepCostHourly*$D336*VLOOKUP(BasisYear,ChemPPI[],14,FALSE)/VLOOKUP(2017,ChemPPI[],14,FALSE))),""))</f>
        <v/>
      </c>
      <c r="F336" s="342" t="str">
        <f t="shared" si="18"/>
        <v/>
      </c>
      <c r="G336" s="341" t="str">
        <f t="shared" si="19"/>
        <v/>
      </c>
      <c r="H336" s="248"/>
      <c r="I336" s="247" t="str">
        <f>IFERROR(VLOOKUP($C336,Steps[],5,FALSE),"")</f>
        <v>A.k.a. calciner. Sub with continuous kiln at M/L scale</v>
      </c>
      <c r="J336" s="251"/>
    </row>
    <row r="337" spans="1:10" ht="16" hidden="1" customHeight="1" outlineLevel="1">
      <c r="B337" s="16"/>
      <c r="C337" s="69" t="s">
        <v>932</v>
      </c>
      <c r="D337" s="246">
        <v>1</v>
      </c>
      <c r="E337" s="342" t="str">
        <f>IF(ISBLANK(C337),"",IFERROR(IF(fnStepCostHourly=0,fnStepNotAvail,IF(ISBLANK(D337),"",fnStepCostHourly*$D337*VLOOKUP(BasisYear,ChemPPI[],14,FALSE)/VLOOKUP(2017,ChemPPI[],14,FALSE))),""))</f>
        <v/>
      </c>
      <c r="F337" s="342" t="str">
        <f t="shared" si="18"/>
        <v/>
      </c>
      <c r="G337" s="341" t="str">
        <f t="shared" si="19"/>
        <v/>
      </c>
      <c r="H337" s="248"/>
      <c r="I337" s="247" t="str">
        <f>IFERROR(VLOOKUP($C337,Steps[],5,FALSE),"")</f>
        <v>-</v>
      </c>
      <c r="J337" s="251"/>
    </row>
    <row r="338" spans="1:10" ht="16" hidden="1" customHeight="1" outlineLevel="1">
      <c r="B338" s="16"/>
      <c r="C338" s="349" t="s">
        <v>926</v>
      </c>
      <c r="D338" s="350">
        <f>1*IF($D$6&lt;5,0,IF($D$6&lt;70,1,1))</f>
        <v>1</v>
      </c>
      <c r="E338" s="342" t="str">
        <f>IF(ISBLANK(C338),"",IFERROR(IF(fnStepCostHourly=0,fnStepNotAvail,IF(ISBLANK(D338),"",fnStepCostHourly*$D338*VLOOKUP(BasisYear,ChemPPI[],14,FALSE)/VLOOKUP(2017,ChemPPI[],14,FALSE))),""))</f>
        <v/>
      </c>
      <c r="F338" s="342" t="str">
        <f t="shared" si="18"/>
        <v/>
      </c>
      <c r="G338" s="341" t="str">
        <f t="shared" si="19"/>
        <v/>
      </c>
      <c r="H338" s="248"/>
      <c r="I338" s="247" t="str">
        <f>IFERROR(VLOOKUP($C338,Steps[],5,FALSE),"")</f>
        <v>Substitute with plate and frame at small scale</v>
      </c>
      <c r="J338" s="251"/>
    </row>
    <row r="339" spans="1:10" ht="16" hidden="1" customHeight="1" outlineLevel="1">
      <c r="B339" s="16"/>
      <c r="C339" s="349" t="s">
        <v>928</v>
      </c>
      <c r="D339" s="350">
        <f>1*IF($D$6&lt;5,1,IF($D$6&lt;70,0,0))</f>
        <v>0</v>
      </c>
      <c r="E339" s="342" t="str">
        <f>IF(ISBLANK(C339),"",IFERROR(IF(fnStepCostHourly=0,fnStepNotAvail,IF(ISBLANK(D339),"",fnStepCostHourly*$D339*VLOOKUP(BasisYear,ChemPPI[],14,FALSE)/VLOOKUP(2017,ChemPPI[],14,FALSE))),""))</f>
        <v/>
      </c>
      <c r="F339" s="342" t="str">
        <f t="shared" si="18"/>
        <v/>
      </c>
      <c r="G339" s="341" t="str">
        <f t="shared" si="19"/>
        <v/>
      </c>
      <c r="H339" s="248"/>
      <c r="I339" s="247" t="str">
        <f>IFERROR(VLOOKUP($C339,Steps[],5,FALSE),"")</f>
        <v>Substitute with belt or rotary vacuum at M/L scale</v>
      </c>
      <c r="J339" s="251"/>
    </row>
    <row r="340" spans="1:10" ht="16" hidden="1" customHeight="1" outlineLevel="1">
      <c r="B340" s="16"/>
      <c r="C340" s="349" t="s">
        <v>946</v>
      </c>
      <c r="D340" s="350">
        <f>1*IF($D$6&lt;5,0,IF($D$6&lt;70,1,1))</f>
        <v>1</v>
      </c>
      <c r="E340" s="342" t="str">
        <f>IF(ISBLANK(C340),"",IFERROR(IF(fnStepCostHourly=0,fnStepNotAvail,IF(ISBLANK(D340),"",fnStepCostHourly*$D340*VLOOKUP(BasisYear,ChemPPI[],14,FALSE)/VLOOKUP(2017,ChemPPI[],14,FALSE))),""))</f>
        <v/>
      </c>
      <c r="F340" s="342" t="str">
        <f t="shared" si="18"/>
        <v/>
      </c>
      <c r="G340" s="341" t="str">
        <f t="shared" si="19"/>
        <v/>
      </c>
      <c r="H340" s="248"/>
      <c r="I340" s="247" t="str">
        <f>IFERROR(VLOOKUP($C340,Steps[],5,FALSE),"")</f>
        <v>A.k.a. calciner. Sub with batch kiln at small scale</v>
      </c>
      <c r="J340" s="251"/>
    </row>
    <row r="341" spans="1:10" ht="16" hidden="1" customHeight="1" outlineLevel="1">
      <c r="B341" s="16"/>
      <c r="C341" s="349" t="s">
        <v>948</v>
      </c>
      <c r="D341" s="350">
        <f>1*IF($D$6&lt;5,1,IF($D$6&lt;70,0,0))</f>
        <v>0</v>
      </c>
      <c r="E341" s="342" t="str">
        <f>IF(ISBLANK(C341),"",IFERROR(IF(fnStepCostHourly=0,fnStepNotAvail,IF(ISBLANK(D341),"",fnStepCostHourly*$D341*VLOOKUP(BasisYear,ChemPPI[],14,FALSE)/VLOOKUP(2017,ChemPPI[],14,FALSE))),""))</f>
        <v/>
      </c>
      <c r="F341" s="342" t="str">
        <f t="shared" si="18"/>
        <v/>
      </c>
      <c r="G341" s="341" t="str">
        <f t="shared" si="19"/>
        <v/>
      </c>
      <c r="H341" s="248"/>
      <c r="I341" s="247" t="str">
        <f>IFERROR(VLOOKUP($C341,Steps[],5,FALSE),"")</f>
        <v>A.k.a. calciner. Sub with continuous kiln at M/L scale</v>
      </c>
      <c r="J341" s="251"/>
    </row>
    <row r="342" spans="1:10" ht="16" hidden="1" customHeight="1" outlineLevel="1">
      <c r="B342" s="16"/>
      <c r="C342" s="69" t="s">
        <v>939</v>
      </c>
      <c r="D342" s="246">
        <v>1</v>
      </c>
      <c r="E342" s="342" t="str">
        <f>IF(ISBLANK(C342),"",IFERROR(IF(fnStepCostHourly=0,fnStepNotAvail,IF(ISBLANK(D342),"",fnStepCostHourly*$D342*VLOOKUP(BasisYear,ChemPPI[],14,FALSE)/VLOOKUP(2017,ChemPPI[],14,FALSE))),""))</f>
        <v/>
      </c>
      <c r="F342" s="342" t="str">
        <f t="shared" si="18"/>
        <v/>
      </c>
      <c r="G342" s="341" t="str">
        <f t="shared" si="19"/>
        <v/>
      </c>
      <c r="H342" s="248"/>
      <c r="I342" s="247" t="str">
        <f>IFERROR(VLOOKUP($C342,Steps[],5,FALSE),"")</f>
        <v>-</v>
      </c>
      <c r="J342" s="251"/>
    </row>
    <row r="343" spans="1:10" ht="16" hidden="1" customHeight="1" outlineLevel="1">
      <c r="B343" s="16"/>
      <c r="C343" s="69" t="s">
        <v>929</v>
      </c>
      <c r="D343" s="246">
        <v>1</v>
      </c>
      <c r="E343" s="342" t="str">
        <f>IF(ISBLANK(C343),"",IFERROR(IF(fnStepCostHourly=0,fnStepNotAvail,IF(ISBLANK(D343),"",fnStepCostHourly*$D343*VLOOKUP(BasisYear,ChemPPI[],14,FALSE)/VLOOKUP(2017,ChemPPI[],14,FALSE))),""))</f>
        <v/>
      </c>
      <c r="F343" s="342" t="str">
        <f t="shared" si="18"/>
        <v/>
      </c>
      <c r="G343" s="341" t="str">
        <f t="shared" si="19"/>
        <v/>
      </c>
      <c r="H343" s="248"/>
      <c r="I343" s="247" t="str">
        <f>IFERROR(VLOOKUP($C343,Steps[],5,FALSE),"")</f>
        <v>-</v>
      </c>
      <c r="J343" s="251"/>
    </row>
    <row r="344" spans="1:10" ht="16" hidden="1" customHeight="1" outlineLevel="1">
      <c r="B344" s="16"/>
      <c r="C344" s="69" t="s">
        <v>943</v>
      </c>
      <c r="D344" s="246">
        <v>1</v>
      </c>
      <c r="E344" s="342" t="str">
        <f>IF(ISBLANK(C344),"",IFERROR(IF(fnStepCostHourly=0,fnStepNotAvail,IF(ISBLANK(D344),"",fnStepCostHourly*$D344*VLOOKUP(BasisYear,ChemPPI[],14,FALSE)/VLOOKUP(2017,ChemPPI[],14,FALSE))),""))</f>
        <v/>
      </c>
      <c r="F344" s="342" t="str">
        <f t="shared" si="18"/>
        <v/>
      </c>
      <c r="G344" s="341" t="str">
        <f t="shared" si="19"/>
        <v/>
      </c>
      <c r="H344" s="248"/>
      <c r="I344" s="247" t="str">
        <f>IFERROR(VLOOKUP($C344,Steps[],5,FALSE),"")</f>
        <v>Muller</v>
      </c>
      <c r="J344" s="251"/>
    </row>
    <row r="345" spans="1:10" ht="16" hidden="1" customHeight="1" outlineLevel="1">
      <c r="B345" s="16"/>
      <c r="C345" s="69" t="s">
        <v>944</v>
      </c>
      <c r="D345" s="246">
        <v>1</v>
      </c>
      <c r="E345" s="342" t="str">
        <f>IF(ISBLANK(C345),"",IFERROR(IF(fnStepCostHourly=0,fnStepNotAvail,IF(ISBLANK(D345),"",fnStepCostHourly*$D345*VLOOKUP(BasisYear,ChemPPI[],14,FALSE)/VLOOKUP(2017,ChemPPI[],14,FALSE))),""))</f>
        <v/>
      </c>
      <c r="F345" s="342" t="str">
        <f t="shared" si="18"/>
        <v/>
      </c>
      <c r="G345" s="341" t="str">
        <f t="shared" si="19"/>
        <v/>
      </c>
      <c r="H345" s="248"/>
      <c r="I345" s="247" t="str">
        <f>IFERROR(VLOOKUP($C345,Steps[],5,FALSE),"")</f>
        <v>Bonnot</v>
      </c>
      <c r="J345" s="251"/>
    </row>
    <row r="346" spans="1:10" ht="16" hidden="1" customHeight="1" outlineLevel="1">
      <c r="B346" s="16"/>
      <c r="C346" s="69"/>
      <c r="D346" s="246"/>
      <c r="E346" s="342" t="str">
        <f>IF(ISBLANK(C346),"",IFERROR(IF(fnStepCostHourly=0,fnStepNotAvail,IF(ISBLANK(D346),"",fnStepCostHourly*$D346*VLOOKUP(BasisYear,ChemPPI[],14,FALSE)/VLOOKUP(2017,ChemPPI[],14,FALSE))),""))</f>
        <v/>
      </c>
      <c r="F346" s="342" t="str">
        <f t="shared" si="18"/>
        <v/>
      </c>
      <c r="G346" s="341" t="str">
        <f t="shared" si="19"/>
        <v/>
      </c>
      <c r="H346" s="248"/>
      <c r="I346" s="247" t="str">
        <f>IFERROR(VLOOKUP($C346,Steps[],5,FALSE),"")</f>
        <v/>
      </c>
      <c r="J346" s="251"/>
    </row>
    <row r="347" spans="1:10" ht="16" hidden="1" customHeight="1" outlineLevel="1">
      <c r="B347" s="16"/>
      <c r="C347" s="69"/>
      <c r="D347" s="246"/>
      <c r="E347" s="342" t="str">
        <f>IF(ISBLANK(C347),"",IFERROR(IF(fnStepCostHourly=0,fnStepNotAvail,IF(ISBLANK(D347),"",fnStepCostHourly*$D347*VLOOKUP(BasisYear,ChemPPI[],14,FALSE)/VLOOKUP(2017,ChemPPI[],14,FALSE))),""))</f>
        <v/>
      </c>
      <c r="F347" s="342" t="str">
        <f t="shared" si="18"/>
        <v/>
      </c>
      <c r="G347" s="341" t="str">
        <f t="shared" si="19"/>
        <v/>
      </c>
      <c r="H347" s="248"/>
      <c r="I347" s="247" t="str">
        <f>IFERROR(VLOOKUP($C347,Steps[],5,FALSE),"")</f>
        <v/>
      </c>
      <c r="J347" s="251"/>
    </row>
    <row r="348" spans="1:10" ht="16" hidden="1" customHeight="1" outlineLevel="1">
      <c r="B348" s="16"/>
      <c r="C348" s="69"/>
      <c r="D348" s="246"/>
      <c r="E348" s="342" t="str">
        <f>IF(ISBLANK(C348),"",IFERROR(IF(fnStepCostHourly=0,fnStepNotAvail,IF(ISBLANK(D348),"",fnStepCostHourly*$D348*VLOOKUP(BasisYear,ChemPPI[],14,FALSE)/VLOOKUP(2017,ChemPPI[],14,FALSE))),""))</f>
        <v/>
      </c>
      <c r="F348" s="342" t="str">
        <f t="shared" si="18"/>
        <v/>
      </c>
      <c r="G348" s="341" t="str">
        <f t="shared" si="19"/>
        <v/>
      </c>
      <c r="H348" s="248"/>
      <c r="I348" s="247" t="str">
        <f>IFERROR(VLOOKUP($C348,Steps[],5,FALSE),"")</f>
        <v/>
      </c>
      <c r="J348" s="251"/>
    </row>
    <row r="349" spans="1:10" ht="16" hidden="1" customHeight="1" outlineLevel="1">
      <c r="B349" s="16"/>
      <c r="C349" s="69"/>
      <c r="D349" s="246"/>
      <c r="E349" s="342" t="str">
        <f>IF(ISBLANK(C349),"",IFERROR(IF(fnStepCostHourly=0,fnStepNotAvail,IF(ISBLANK(D349),"",fnStepCostHourly*$D349*VLOOKUP(BasisYear,ChemPPI[],14,FALSE)/VLOOKUP(2017,ChemPPI[],14,FALSE))),""))</f>
        <v/>
      </c>
      <c r="F349" s="342" t="str">
        <f t="shared" si="18"/>
        <v/>
      </c>
      <c r="G349" s="341" t="str">
        <f t="shared" si="19"/>
        <v/>
      </c>
      <c r="H349" s="248"/>
      <c r="I349" s="247" t="str">
        <f>IFERROR(VLOOKUP($C349,Steps[],5,FALSE),"")</f>
        <v/>
      </c>
      <c r="J349" s="251"/>
    </row>
    <row r="350" spans="1:10" ht="16" hidden="1" customHeight="1" outlineLevel="1">
      <c r="B350" s="16"/>
      <c r="C350" s="69"/>
      <c r="D350" s="246"/>
      <c r="E350" s="342" t="str">
        <f>IF(ISBLANK(C350),"",IFERROR(IF(fnStepCostHourly=0,fnStepNotAvail,IF(ISBLANK(D350),"",fnStepCostHourly*$D350*VLOOKUP(BasisYear,ChemPPI[],14,FALSE)/VLOOKUP(2017,ChemPPI[],14,FALSE))),""))</f>
        <v/>
      </c>
      <c r="F350" s="342" t="str">
        <f t="shared" si="18"/>
        <v/>
      </c>
      <c r="G350" s="341" t="str">
        <f t="shared" si="19"/>
        <v/>
      </c>
      <c r="H350" s="248"/>
      <c r="I350" s="247" t="str">
        <f>IFERROR(VLOOKUP($C350,Steps[],5,FALSE),"")</f>
        <v/>
      </c>
      <c r="J350" s="251"/>
    </row>
    <row r="351" spans="1:10" ht="17" hidden="1" outlineLevel="1" thickBot="1">
      <c r="B351" s="252"/>
      <c r="C351" s="253"/>
      <c r="D351" s="253"/>
      <c r="E351" s="253"/>
      <c r="F351" s="253"/>
      <c r="G351" s="253"/>
      <c r="H351" s="253"/>
      <c r="I351" s="253"/>
      <c r="J351" s="254"/>
    </row>
    <row r="352" spans="1:10" ht="17" collapsed="1" thickBot="1">
      <c r="A352" s="314" t="str">
        <f>"&lt;– show/hide "&amp;B318</f>
        <v>&lt;– show/hide Step Process Template: Zeolite Beta (Bulk)</v>
      </c>
    </row>
    <row r="353" spans="2:10" ht="21" thickBot="1">
      <c r="B353" s="355" t="str">
        <f>"Step Process Template: "&amp;C356</f>
        <v>Step Process Template: Zeolite Beta with Metal Active Site</v>
      </c>
      <c r="C353" s="356"/>
      <c r="D353" s="356"/>
      <c r="E353" s="356"/>
      <c r="F353" s="356"/>
      <c r="G353" s="356"/>
      <c r="H353" s="357"/>
    </row>
    <row r="354" spans="2:10" hidden="1" outlineLevel="1">
      <c r="B354" s="13"/>
      <c r="C354" s="14"/>
      <c r="D354" s="14"/>
      <c r="E354" s="14"/>
      <c r="F354" s="14"/>
      <c r="G354" s="14"/>
      <c r="H354" s="15"/>
      <c r="J354" s="201"/>
    </row>
    <row r="355" spans="2:10" hidden="1" outlineLevel="1">
      <c r="B355" s="16"/>
      <c r="C355" s="17" t="s">
        <v>1055</v>
      </c>
      <c r="D355" s="256" t="s">
        <v>961</v>
      </c>
      <c r="E355" s="64" t="s">
        <v>953</v>
      </c>
      <c r="F355" s="64" t="s">
        <v>954</v>
      </c>
      <c r="G355" s="64" t="str">
        <f>"Cost ($/"&amp;OutMassUnit&amp;" catalyst)"</f>
        <v>Cost ($/lb catalyst)</v>
      </c>
      <c r="H355" s="250"/>
      <c r="J355" s="201"/>
    </row>
    <row r="356" spans="2:10" ht="16" hidden="1" customHeight="1" outlineLevel="1">
      <c r="B356" s="16"/>
      <c r="C356" s="18" t="s">
        <v>1094</v>
      </c>
      <c r="D356" s="256"/>
      <c r="E356" s="344">
        <f>SUM(E364:E389)</f>
        <v>0</v>
      </c>
      <c r="F356" s="344">
        <f>SUM(F364:F389)</f>
        <v>0</v>
      </c>
      <c r="G356" s="343">
        <f>SUM(G364:G389)</f>
        <v>0</v>
      </c>
      <c r="H356" s="336"/>
      <c r="J356" s="201"/>
    </row>
    <row r="357" spans="2:10" ht="16" hidden="1" customHeight="1" outlineLevel="1">
      <c r="B357" s="16"/>
      <c r="C357" s="353" t="str">
        <f>"Name: "&amp;C356</f>
        <v>Name: Zeolite Beta with Metal Active Site</v>
      </c>
      <c r="D357" s="256"/>
      <c r="E357" s="347"/>
      <c r="F357" s="347"/>
      <c r="G357" s="348"/>
      <c r="H357" s="336"/>
      <c r="J357" s="201"/>
    </row>
    <row r="358" spans="2:10" ht="16" hidden="1" customHeight="1" outlineLevel="1">
      <c r="B358" s="16"/>
      <c r="C358" s="17" t="s">
        <v>1070</v>
      </c>
      <c r="D358" s="256"/>
      <c r="E358" s="347"/>
      <c r="F358" s="347"/>
      <c r="G358" s="348"/>
      <c r="H358" s="336"/>
      <c r="J358" s="201"/>
    </row>
    <row r="359" spans="2:10" ht="16" hidden="1" customHeight="1" outlineLevel="1">
      <c r="B359" s="16"/>
      <c r="C359" s="18" t="s">
        <v>1095</v>
      </c>
      <c r="D359" s="256"/>
      <c r="E359" s="347"/>
      <c r="F359" s="347"/>
      <c r="G359" s="348"/>
      <c r="H359" s="336"/>
      <c r="J359" s="201"/>
    </row>
    <row r="360" spans="2:10" ht="16" hidden="1" customHeight="1" outlineLevel="1">
      <c r="B360" s="16"/>
      <c r="C360" s="18" t="s">
        <v>1073</v>
      </c>
      <c r="D360" s="256"/>
      <c r="E360" s="347"/>
      <c r="F360" s="347"/>
      <c r="G360" s="348"/>
      <c r="H360" s="336"/>
      <c r="J360" s="201"/>
    </row>
    <row r="361" spans="2:10" ht="17" hidden="1" outlineLevel="1" thickBot="1">
      <c r="B361" s="21"/>
      <c r="C361" s="22"/>
      <c r="D361" s="22"/>
      <c r="E361" s="22"/>
      <c r="F361" s="22"/>
      <c r="G361" s="22"/>
      <c r="H361" s="23"/>
      <c r="J361" s="201"/>
    </row>
    <row r="362" spans="2:10" ht="16" hidden="1" customHeight="1" outlineLevel="1">
      <c r="B362" s="16"/>
      <c r="C362" s="18"/>
      <c r="D362" s="18"/>
      <c r="E362" s="18"/>
      <c r="F362" s="18"/>
      <c r="G362" s="18"/>
      <c r="H362" s="18"/>
      <c r="I362" s="14"/>
      <c r="J362" s="15"/>
    </row>
    <row r="363" spans="2:10" ht="17" hidden="1" customHeight="1" outlineLevel="1">
      <c r="B363" s="16"/>
      <c r="C363" s="339" t="s">
        <v>937</v>
      </c>
      <c r="D363" s="339" t="s">
        <v>309</v>
      </c>
      <c r="E363" s="339" t="s">
        <v>953</v>
      </c>
      <c r="F363" s="339" t="s">
        <v>954</v>
      </c>
      <c r="G363" s="339" t="str">
        <f>"Cost ($/"&amp;OutMassUnit&amp;" catalyst)"</f>
        <v>Cost ($/lb catalyst)</v>
      </c>
      <c r="H363" s="339"/>
      <c r="I363" s="339" t="s">
        <v>207</v>
      </c>
      <c r="J363" s="250"/>
    </row>
    <row r="364" spans="2:10" ht="16" hidden="1" customHeight="1" outlineLevel="1">
      <c r="B364" s="16"/>
      <c r="C364" s="69" t="s">
        <v>931</v>
      </c>
      <c r="D364" s="246">
        <v>1</v>
      </c>
      <c r="E364" s="342" t="str">
        <f>IF(ISBLANK(C364),"",IFERROR(IF(fnStepCostHourly=0,fnStepNotAvail,IF(ISBLANK(D364),"",fnStepCostHourly*$D364*VLOOKUP(BasisYear,ChemPPI[],14,FALSE)/VLOOKUP(2017,ChemPPI[],14,FALSE))),""))</f>
        <v/>
      </c>
      <c r="F364" s="342" t="str">
        <f t="shared" ref="F364:F389" si="20">IFERROR($E364*$D$9*24,$E364)</f>
        <v/>
      </c>
      <c r="G364" s="341" t="str">
        <f t="shared" ref="G364:G389" si="21">IFERROR($F364/$D$7,$F364)</f>
        <v/>
      </c>
      <c r="H364" s="248"/>
      <c r="I364" s="247" t="str">
        <f>IFERROR(VLOOKUP($C364,Steps[],5,FALSE),"")</f>
        <v>-</v>
      </c>
      <c r="J364" s="251"/>
    </row>
    <row r="365" spans="2:10" ht="16" hidden="1" customHeight="1" outlineLevel="1">
      <c r="B365" s="16"/>
      <c r="C365" s="69" t="s">
        <v>924</v>
      </c>
      <c r="D365" s="246">
        <v>2</v>
      </c>
      <c r="E365" s="342" t="str">
        <f>IF(ISBLANK(C365),"",IFERROR(IF(fnStepCostHourly=0,fnStepNotAvail,IF(ISBLANK(D365),"",fnStepCostHourly*$D365*VLOOKUP(BasisYear,ChemPPI[],14,FALSE)/VLOOKUP(2017,ChemPPI[],14,FALSE))),""))</f>
        <v/>
      </c>
      <c r="F365" s="342" t="str">
        <f t="shared" si="20"/>
        <v/>
      </c>
      <c r="G365" s="341" t="str">
        <f t="shared" si="21"/>
        <v/>
      </c>
      <c r="H365" s="248"/>
      <c r="I365" s="247" t="str">
        <f>IFERROR(VLOOKUP($C365,Steps[],5,FALSE),"")</f>
        <v>-</v>
      </c>
      <c r="J365" s="251"/>
    </row>
    <row r="366" spans="2:10" ht="16" hidden="1" customHeight="1" outlineLevel="1">
      <c r="B366" s="16"/>
      <c r="C366" s="69" t="s">
        <v>931</v>
      </c>
      <c r="D366" s="246">
        <v>1</v>
      </c>
      <c r="E366" s="342" t="str">
        <f>IF(ISBLANK(C366),"",IFERROR(IF(fnStepCostHourly=0,fnStepNotAvail,IF(ISBLANK(D366),"",fnStepCostHourly*$D366*VLOOKUP(BasisYear,ChemPPI[],14,FALSE)/VLOOKUP(2017,ChemPPI[],14,FALSE))),""))</f>
        <v/>
      </c>
      <c r="F366" s="342" t="str">
        <f t="shared" si="20"/>
        <v/>
      </c>
      <c r="G366" s="341" t="str">
        <f t="shared" si="21"/>
        <v/>
      </c>
      <c r="H366" s="248"/>
      <c r="I366" s="247" t="str">
        <f>IFERROR(VLOOKUP($C366,Steps[],5,FALSE),"")</f>
        <v>-</v>
      </c>
      <c r="J366" s="251"/>
    </row>
    <row r="367" spans="2:10" ht="16" hidden="1" customHeight="1" outlineLevel="1">
      <c r="B367" s="16"/>
      <c r="C367" s="349" t="s">
        <v>926</v>
      </c>
      <c r="D367" s="350">
        <f>1*IF($D$6&lt;5,0,IF($D$6&lt;70,1,1))</f>
        <v>1</v>
      </c>
      <c r="E367" s="342" t="str">
        <f>IF(ISBLANK(C367),"",IFERROR(IF(fnStepCostHourly=0,fnStepNotAvail,IF(ISBLANK(D367),"",fnStepCostHourly*$D367*VLOOKUP(BasisYear,ChemPPI[],14,FALSE)/VLOOKUP(2017,ChemPPI[],14,FALSE))),""))</f>
        <v/>
      </c>
      <c r="F367" s="342" t="str">
        <f t="shared" si="20"/>
        <v/>
      </c>
      <c r="G367" s="341" t="str">
        <f t="shared" si="21"/>
        <v/>
      </c>
      <c r="H367" s="248"/>
      <c r="I367" s="247" t="str">
        <f>IFERROR(VLOOKUP($C367,Steps[],5,FALSE),"")</f>
        <v>Substitute with plate and frame at small scale</v>
      </c>
      <c r="J367" s="251"/>
    </row>
    <row r="368" spans="2:10" ht="16" hidden="1" customHeight="1" outlineLevel="1">
      <c r="B368" s="16"/>
      <c r="C368" s="349" t="s">
        <v>928</v>
      </c>
      <c r="D368" s="350">
        <f>1*IF($D$6&lt;5,1,IF($D$6&lt;70,0,0))</f>
        <v>0</v>
      </c>
      <c r="E368" s="342" t="str">
        <f>IF(ISBLANK(C368),"",IFERROR(IF(fnStepCostHourly=0,fnStepNotAvail,IF(ISBLANK(D368),"",fnStepCostHourly*$D368*VLOOKUP(BasisYear,ChemPPI[],14,FALSE)/VLOOKUP(2017,ChemPPI[],14,FALSE))),""))</f>
        <v/>
      </c>
      <c r="F368" s="342" t="str">
        <f t="shared" si="20"/>
        <v/>
      </c>
      <c r="G368" s="341" t="str">
        <f t="shared" si="21"/>
        <v/>
      </c>
      <c r="H368" s="248"/>
      <c r="I368" s="247" t="str">
        <f>IFERROR(VLOOKUP($C368,Steps[],5,FALSE),"")</f>
        <v>Substitute with belt or rotary vacuum at M/L scale</v>
      </c>
      <c r="J368" s="251"/>
    </row>
    <row r="369" spans="2:10" ht="16" hidden="1" customHeight="1" outlineLevel="1">
      <c r="B369" s="16"/>
      <c r="C369" s="69" t="s">
        <v>1075</v>
      </c>
      <c r="D369" s="246">
        <v>1</v>
      </c>
      <c r="E369" s="342" t="str">
        <f>IF(ISBLANK(C369),"",IFERROR(IF(fnStepCostHourly=0,fnStepNotAvail,IF(ISBLANK(D369),"",fnStepCostHourly*$D369*VLOOKUP(BasisYear,ChemPPI[],14,FALSE)/VLOOKUP(2017,ChemPPI[],14,FALSE))),""))</f>
        <v/>
      </c>
      <c r="F369" s="342" t="str">
        <f t="shared" si="20"/>
        <v/>
      </c>
      <c r="G369" s="341" t="str">
        <f t="shared" si="21"/>
        <v/>
      </c>
      <c r="H369" s="248"/>
      <c r="I369" s="247" t="str">
        <f>IFERROR(VLOOKUP($C369,Steps[],5,FALSE),"")</f>
        <v>For higher temp use kiln</v>
      </c>
      <c r="J369" s="251"/>
    </row>
    <row r="370" spans="2:10" ht="16" hidden="1" customHeight="1" outlineLevel="1">
      <c r="B370" s="16"/>
      <c r="C370" s="349" t="s">
        <v>946</v>
      </c>
      <c r="D370" s="350">
        <f>1*IF($D$6&lt;5,0,IF($D$6&lt;70,1,1))</f>
        <v>1</v>
      </c>
      <c r="E370" s="342" t="str">
        <f>IF(ISBLANK(C370),"",IFERROR(IF(fnStepCostHourly=0,fnStepNotAvail,IF(ISBLANK(D370),"",fnStepCostHourly*$D370*VLOOKUP(BasisYear,ChemPPI[],14,FALSE)/VLOOKUP(2017,ChemPPI[],14,FALSE))),""))</f>
        <v/>
      </c>
      <c r="F370" s="342" t="str">
        <f t="shared" si="20"/>
        <v/>
      </c>
      <c r="G370" s="341" t="str">
        <f t="shared" si="21"/>
        <v/>
      </c>
      <c r="H370" s="248"/>
      <c r="I370" s="247" t="str">
        <f>IFERROR(VLOOKUP($C370,Steps[],5,FALSE),"")</f>
        <v>A.k.a. calciner. Sub with batch kiln at small scale</v>
      </c>
      <c r="J370" s="251"/>
    </row>
    <row r="371" spans="2:10" ht="16" hidden="1" customHeight="1" outlineLevel="1">
      <c r="B371" s="16"/>
      <c r="C371" s="349" t="s">
        <v>948</v>
      </c>
      <c r="D371" s="350">
        <f>1*IF($D$6&lt;5,1,IF($D$6&lt;70,0,0))</f>
        <v>0</v>
      </c>
      <c r="E371" s="342" t="str">
        <f>IF(ISBLANK(C371),"",IFERROR(IF(fnStepCostHourly=0,fnStepNotAvail,IF(ISBLANK(D371),"",fnStepCostHourly*$D371*VLOOKUP(BasisYear,ChemPPI[],14,FALSE)/VLOOKUP(2017,ChemPPI[],14,FALSE))),""))</f>
        <v/>
      </c>
      <c r="F371" s="342" t="str">
        <f t="shared" si="20"/>
        <v/>
      </c>
      <c r="G371" s="341" t="str">
        <f t="shared" si="21"/>
        <v/>
      </c>
      <c r="H371" s="248"/>
      <c r="I371" s="247" t="str">
        <f>IFERROR(VLOOKUP($C371,Steps[],5,FALSE),"")</f>
        <v>A.k.a. calciner. Sub with continuous kiln at M/L scale</v>
      </c>
      <c r="J371" s="251"/>
    </row>
    <row r="372" spans="2:10" ht="16" hidden="1" customHeight="1" outlineLevel="1">
      <c r="B372" s="16"/>
      <c r="C372" s="69" t="s">
        <v>932</v>
      </c>
      <c r="D372" s="246">
        <v>1</v>
      </c>
      <c r="E372" s="342" t="str">
        <f>IF(ISBLANK(C372),"",IFERROR(IF(fnStepCostHourly=0,fnStepNotAvail,IF(ISBLANK(D372),"",fnStepCostHourly*$D372*VLOOKUP(BasisYear,ChemPPI[],14,FALSE)/VLOOKUP(2017,ChemPPI[],14,FALSE))),""))</f>
        <v/>
      </c>
      <c r="F372" s="342" t="str">
        <f t="shared" si="20"/>
        <v/>
      </c>
      <c r="G372" s="341" t="str">
        <f t="shared" si="21"/>
        <v/>
      </c>
      <c r="H372" s="248"/>
      <c r="I372" s="247" t="str">
        <f>IFERROR(VLOOKUP($C372,Steps[],5,FALSE),"")</f>
        <v>-</v>
      </c>
      <c r="J372" s="251"/>
    </row>
    <row r="373" spans="2:10" ht="16" hidden="1" customHeight="1" outlineLevel="1">
      <c r="B373" s="16"/>
      <c r="C373" s="349" t="s">
        <v>926</v>
      </c>
      <c r="D373" s="350">
        <f>1*IF($D$6&lt;5,0,IF($D$6&lt;70,1,1))</f>
        <v>1</v>
      </c>
      <c r="E373" s="342" t="str">
        <f>IF(ISBLANK(C373),"",IFERROR(IF(fnStepCostHourly=0,fnStepNotAvail,IF(ISBLANK(D373),"",fnStepCostHourly*$D373*VLOOKUP(BasisYear,ChemPPI[],14,FALSE)/VLOOKUP(2017,ChemPPI[],14,FALSE))),""))</f>
        <v/>
      </c>
      <c r="F373" s="342" t="str">
        <f t="shared" si="20"/>
        <v/>
      </c>
      <c r="G373" s="341" t="str">
        <f t="shared" si="21"/>
        <v/>
      </c>
      <c r="H373" s="248"/>
      <c r="I373" s="247" t="str">
        <f>IFERROR(VLOOKUP($C373,Steps[],5,FALSE),"")</f>
        <v>Substitute with plate and frame at small scale</v>
      </c>
      <c r="J373" s="251"/>
    </row>
    <row r="374" spans="2:10" ht="16" hidden="1" customHeight="1" outlineLevel="1">
      <c r="B374" s="16"/>
      <c r="C374" s="349" t="s">
        <v>928</v>
      </c>
      <c r="D374" s="350">
        <f>1*IF($D$6&lt;5,1,IF($D$6&lt;70,0,0))</f>
        <v>0</v>
      </c>
      <c r="E374" s="342" t="str">
        <f>IF(ISBLANK(C374),"",IFERROR(IF(fnStepCostHourly=0,fnStepNotAvail,IF(ISBLANK(D374),"",fnStepCostHourly*$D374*VLOOKUP(BasisYear,ChemPPI[],14,FALSE)/VLOOKUP(2017,ChemPPI[],14,FALSE))),""))</f>
        <v/>
      </c>
      <c r="F374" s="342" t="str">
        <f t="shared" si="20"/>
        <v/>
      </c>
      <c r="G374" s="341" t="str">
        <f t="shared" si="21"/>
        <v/>
      </c>
      <c r="H374" s="248"/>
      <c r="I374" s="247" t="str">
        <f>IFERROR(VLOOKUP($C374,Steps[],5,FALSE),"")</f>
        <v>Substitute with belt or rotary vacuum at M/L scale</v>
      </c>
      <c r="J374" s="251"/>
    </row>
    <row r="375" spans="2:10" ht="16" hidden="1" customHeight="1" outlineLevel="1">
      <c r="B375" s="16"/>
      <c r="C375" s="349" t="s">
        <v>946</v>
      </c>
      <c r="D375" s="350">
        <f>1*IF($D$6&lt;5,0,IF($D$6&lt;70,1,1))</f>
        <v>1</v>
      </c>
      <c r="E375" s="342" t="str">
        <f>IF(ISBLANK(C375),"",IFERROR(IF(fnStepCostHourly=0,fnStepNotAvail,IF(ISBLANK(D375),"",fnStepCostHourly*$D375*VLOOKUP(BasisYear,ChemPPI[],14,FALSE)/VLOOKUP(2017,ChemPPI[],14,FALSE))),""))</f>
        <v/>
      </c>
      <c r="F375" s="342" t="str">
        <f t="shared" si="20"/>
        <v/>
      </c>
      <c r="G375" s="341" t="str">
        <f t="shared" si="21"/>
        <v/>
      </c>
      <c r="H375" s="248"/>
      <c r="I375" s="247" t="str">
        <f>IFERROR(VLOOKUP($C375,Steps[],5,FALSE),"")</f>
        <v>A.k.a. calciner. Sub with batch kiln at small scale</v>
      </c>
      <c r="J375" s="251"/>
    </row>
    <row r="376" spans="2:10" ht="16" hidden="1" customHeight="1" outlineLevel="1">
      <c r="B376" s="16"/>
      <c r="C376" s="349" t="s">
        <v>948</v>
      </c>
      <c r="D376" s="350">
        <f>1*IF($D$6&lt;5,1,IF($D$6&lt;70,0,0))</f>
        <v>0</v>
      </c>
      <c r="E376" s="342" t="str">
        <f>IF(ISBLANK(C376),"",IFERROR(IF(fnStepCostHourly=0,fnStepNotAvail,IF(ISBLANK(D376),"",fnStepCostHourly*$D376*VLOOKUP(BasisYear,ChemPPI[],14,FALSE)/VLOOKUP(2017,ChemPPI[],14,FALSE))),""))</f>
        <v/>
      </c>
      <c r="F376" s="342" t="str">
        <f t="shared" si="20"/>
        <v/>
      </c>
      <c r="G376" s="341" t="str">
        <f t="shared" si="21"/>
        <v/>
      </c>
      <c r="H376" s="248"/>
      <c r="I376" s="247" t="str">
        <f>IFERROR(VLOOKUP($C376,Steps[],5,FALSE),"")</f>
        <v>A.k.a. calciner. Sub with continuous kiln at M/L scale</v>
      </c>
      <c r="J376" s="251"/>
    </row>
    <row r="377" spans="2:10" ht="16" hidden="1" customHeight="1" outlineLevel="1">
      <c r="B377" s="16"/>
      <c r="C377" s="69" t="s">
        <v>939</v>
      </c>
      <c r="D377" s="246">
        <v>1</v>
      </c>
      <c r="E377" s="342" t="str">
        <f>IF(ISBLANK(C377),"",IFERROR(IF(fnStepCostHourly=0,fnStepNotAvail,IF(ISBLANK(D377),"",fnStepCostHourly*$D377*VLOOKUP(BasisYear,ChemPPI[],14,FALSE)/VLOOKUP(2017,ChemPPI[],14,FALSE))),""))</f>
        <v/>
      </c>
      <c r="F377" s="342" t="str">
        <f t="shared" si="20"/>
        <v/>
      </c>
      <c r="G377" s="341" t="str">
        <f t="shared" si="21"/>
        <v/>
      </c>
      <c r="H377" s="248"/>
      <c r="I377" s="247" t="str">
        <f>IFERROR(VLOOKUP($C377,Steps[],5,FALSE),"")</f>
        <v>-</v>
      </c>
      <c r="J377" s="251"/>
    </row>
    <row r="378" spans="2:10" ht="16" hidden="1" customHeight="1" outlineLevel="1">
      <c r="B378" s="16"/>
      <c r="C378" s="69" t="s">
        <v>929</v>
      </c>
      <c r="D378" s="246">
        <v>1</v>
      </c>
      <c r="E378" s="342" t="str">
        <f>IF(ISBLANK(C378),"",IFERROR(IF(fnStepCostHourly=0,fnStepNotAvail,IF(ISBLANK(D378),"",fnStepCostHourly*$D378*VLOOKUP(BasisYear,ChemPPI[],14,FALSE)/VLOOKUP(2017,ChemPPI[],14,FALSE))),""))</f>
        <v/>
      </c>
      <c r="F378" s="342" t="str">
        <f t="shared" si="20"/>
        <v/>
      </c>
      <c r="G378" s="341" t="str">
        <f t="shared" si="21"/>
        <v/>
      </c>
      <c r="H378" s="248"/>
      <c r="I378" s="247" t="str">
        <f>IFERROR(VLOOKUP($C378,Steps[],5,FALSE),"")</f>
        <v>-</v>
      </c>
      <c r="J378" s="251"/>
    </row>
    <row r="379" spans="2:10" ht="16" hidden="1" customHeight="1" outlineLevel="1">
      <c r="B379" s="16"/>
      <c r="C379" s="69" t="s">
        <v>943</v>
      </c>
      <c r="D379" s="246">
        <v>1</v>
      </c>
      <c r="E379" s="342" t="str">
        <f>IF(ISBLANK(C379),"",IFERROR(IF(fnStepCostHourly=0,fnStepNotAvail,IF(ISBLANK(D379),"",fnStepCostHourly*$D379*VLOOKUP(BasisYear,ChemPPI[],14,FALSE)/VLOOKUP(2017,ChemPPI[],14,FALSE))),""))</f>
        <v/>
      </c>
      <c r="F379" s="342" t="str">
        <f t="shared" si="20"/>
        <v/>
      </c>
      <c r="G379" s="341" t="str">
        <f t="shared" si="21"/>
        <v/>
      </c>
      <c r="H379" s="248"/>
      <c r="I379" s="247" t="str">
        <f>IFERROR(VLOOKUP($C379,Steps[],5,FALSE),"")</f>
        <v>Muller</v>
      </c>
      <c r="J379" s="251"/>
    </row>
    <row r="380" spans="2:10" ht="16" hidden="1" customHeight="1" outlineLevel="1">
      <c r="B380" s="16"/>
      <c r="C380" s="69" t="s">
        <v>944</v>
      </c>
      <c r="D380" s="246">
        <v>1</v>
      </c>
      <c r="E380" s="342" t="str">
        <f>IF(ISBLANK(C380),"",IFERROR(IF(fnStepCostHourly=0,fnStepNotAvail,IF(ISBLANK(D380),"",fnStepCostHourly*$D380*VLOOKUP(BasisYear,ChemPPI[],14,FALSE)/VLOOKUP(2017,ChemPPI[],14,FALSE))),""))</f>
        <v/>
      </c>
      <c r="F380" s="342" t="str">
        <f t="shared" si="20"/>
        <v/>
      </c>
      <c r="G380" s="341" t="str">
        <f t="shared" si="21"/>
        <v/>
      </c>
      <c r="H380" s="248"/>
      <c r="I380" s="247" t="str">
        <f>IFERROR(VLOOKUP($C380,Steps[],5,FALSE),"")</f>
        <v>Bonnot</v>
      </c>
      <c r="J380" s="251"/>
    </row>
    <row r="381" spans="2:10" ht="16" hidden="1" customHeight="1" outlineLevel="1">
      <c r="B381" s="16"/>
      <c r="C381" s="69" t="s">
        <v>923</v>
      </c>
      <c r="D381" s="246">
        <v>1</v>
      </c>
      <c r="E381" s="342" t="str">
        <f>IF(ISBLANK(C381),"",IFERROR(IF(fnStepCostHourly=0,fnStepNotAvail,IF(ISBLANK(D381),"",fnStepCostHourly*$D381*VLOOKUP(BasisYear,ChemPPI[],14,FALSE)/VLOOKUP(2017,ChemPPI[],14,FALSE))),""))</f>
        <v/>
      </c>
      <c r="F381" s="342" t="str">
        <f t="shared" si="20"/>
        <v/>
      </c>
      <c r="G381" s="341" t="str">
        <f t="shared" si="21"/>
        <v/>
      </c>
      <c r="H381" s="248"/>
      <c r="I381" s="247" t="str">
        <f>IFERROR(VLOOKUP($C381,Steps[],5,FALSE),"")</f>
        <v>-</v>
      </c>
      <c r="J381" s="251"/>
    </row>
    <row r="382" spans="2:10" ht="16" hidden="1" customHeight="1" outlineLevel="1">
      <c r="B382" s="16"/>
      <c r="C382" s="69" t="s">
        <v>1075</v>
      </c>
      <c r="D382" s="246">
        <v>1</v>
      </c>
      <c r="E382" s="342" t="str">
        <f>IF(ISBLANK(C382),"",IFERROR(IF(fnStepCostHourly=0,fnStepNotAvail,IF(ISBLANK(D382),"",fnStepCostHourly*$D382*VLOOKUP(BasisYear,ChemPPI[],14,FALSE)/VLOOKUP(2017,ChemPPI[],14,FALSE))),""))</f>
        <v/>
      </c>
      <c r="F382" s="342" t="str">
        <f t="shared" si="20"/>
        <v/>
      </c>
      <c r="G382" s="341" t="str">
        <f t="shared" si="21"/>
        <v/>
      </c>
      <c r="H382" s="248"/>
      <c r="I382" s="247" t="str">
        <f>IFERROR(VLOOKUP($C382,Steps[],5,FALSE),"")</f>
        <v>For higher temp use kiln</v>
      </c>
      <c r="J382" s="251"/>
    </row>
    <row r="383" spans="2:10" ht="16" hidden="1" customHeight="1" outlineLevel="1">
      <c r="B383" s="16"/>
      <c r="C383" s="349" t="s">
        <v>946</v>
      </c>
      <c r="D383" s="350">
        <f>1*IF($D$6&lt;5,0,IF($D$6&lt;70,1,1))</f>
        <v>1</v>
      </c>
      <c r="E383" s="342" t="str">
        <f>IF(ISBLANK(C383),"",IFERROR(IF(fnStepCostHourly=0,fnStepNotAvail,IF(ISBLANK(D383),"",fnStepCostHourly*$D383*VLOOKUP(BasisYear,ChemPPI[],14,FALSE)/VLOOKUP(2017,ChemPPI[],14,FALSE))),""))</f>
        <v/>
      </c>
      <c r="F383" s="342" t="str">
        <f t="shared" si="20"/>
        <v/>
      </c>
      <c r="G383" s="341" t="str">
        <f t="shared" si="21"/>
        <v/>
      </c>
      <c r="H383" s="248"/>
      <c r="I383" s="247" t="str">
        <f>IFERROR(VLOOKUP($C383,Steps[],5,FALSE),"")</f>
        <v>A.k.a. calciner. Sub with batch kiln at small scale</v>
      </c>
      <c r="J383" s="251"/>
    </row>
    <row r="384" spans="2:10" ht="16" hidden="1" customHeight="1" outlineLevel="1">
      <c r="B384" s="16"/>
      <c r="C384" s="349" t="s">
        <v>948</v>
      </c>
      <c r="D384" s="350">
        <f>1*IF($D$6&lt;5,1,IF($D$6&lt;70,0,0))</f>
        <v>0</v>
      </c>
      <c r="E384" s="342" t="str">
        <f>IF(ISBLANK(C384),"",IFERROR(IF(fnStepCostHourly=0,fnStepNotAvail,IF(ISBLANK(D384),"",fnStepCostHourly*$D384*VLOOKUP(BasisYear,ChemPPI[],14,FALSE)/VLOOKUP(2017,ChemPPI[],14,FALSE))),""))</f>
        <v/>
      </c>
      <c r="F384" s="342" t="str">
        <f t="shared" si="20"/>
        <v/>
      </c>
      <c r="G384" s="341" t="str">
        <f t="shared" si="21"/>
        <v/>
      </c>
      <c r="H384" s="248"/>
      <c r="I384" s="247" t="str">
        <f>IFERROR(VLOOKUP($C384,Steps[],5,FALSE),"")</f>
        <v>A.k.a. calciner. Sub with continuous kiln at M/L scale</v>
      </c>
      <c r="J384" s="251"/>
    </row>
    <row r="385" spans="1:10" ht="16" hidden="1" customHeight="1" outlineLevel="1">
      <c r="B385" s="16"/>
      <c r="C385" s="69"/>
      <c r="D385" s="246"/>
      <c r="E385" s="342" t="str">
        <f>IF(ISBLANK(C385),"",IFERROR(IF(fnStepCostHourly=0,fnStepNotAvail,IF(ISBLANK(D385),"",fnStepCostHourly*$D385*VLOOKUP(BasisYear,ChemPPI[],14,FALSE)/VLOOKUP(2017,ChemPPI[],14,FALSE))),""))</f>
        <v/>
      </c>
      <c r="F385" s="342" t="str">
        <f t="shared" si="20"/>
        <v/>
      </c>
      <c r="G385" s="341" t="str">
        <f t="shared" si="21"/>
        <v/>
      </c>
      <c r="H385" s="248"/>
      <c r="I385" s="247" t="str">
        <f>IFERROR(VLOOKUP($C385,Steps[],5,FALSE),"")</f>
        <v/>
      </c>
      <c r="J385" s="251"/>
    </row>
    <row r="386" spans="1:10" ht="16" hidden="1" customHeight="1" outlineLevel="1">
      <c r="B386" s="16"/>
      <c r="C386" s="69"/>
      <c r="D386" s="246"/>
      <c r="E386" s="342" t="str">
        <f>IF(ISBLANK(C386),"",IFERROR(IF(fnStepCostHourly=0,fnStepNotAvail,IF(ISBLANK(D386),"",fnStepCostHourly*$D386*VLOOKUP(BasisYear,ChemPPI[],14,FALSE)/VLOOKUP(2017,ChemPPI[],14,FALSE))),""))</f>
        <v/>
      </c>
      <c r="F386" s="342" t="str">
        <f t="shared" si="20"/>
        <v/>
      </c>
      <c r="G386" s="341" t="str">
        <f t="shared" si="21"/>
        <v/>
      </c>
      <c r="H386" s="248"/>
      <c r="I386" s="247" t="str">
        <f>IFERROR(VLOOKUP($C386,Steps[],5,FALSE),"")</f>
        <v/>
      </c>
      <c r="J386" s="251"/>
    </row>
    <row r="387" spans="1:10" ht="16" hidden="1" customHeight="1" outlineLevel="1">
      <c r="B387" s="16"/>
      <c r="C387" s="69"/>
      <c r="D387" s="246"/>
      <c r="E387" s="342" t="str">
        <f>IF(ISBLANK(C387),"",IFERROR(IF(fnStepCostHourly=0,fnStepNotAvail,IF(ISBLANK(D387),"",fnStepCostHourly*$D387*VLOOKUP(BasisYear,ChemPPI[],14,FALSE)/VLOOKUP(2017,ChemPPI[],14,FALSE))),""))</f>
        <v/>
      </c>
      <c r="F387" s="342" t="str">
        <f t="shared" si="20"/>
        <v/>
      </c>
      <c r="G387" s="341" t="str">
        <f t="shared" si="21"/>
        <v/>
      </c>
      <c r="H387" s="248"/>
      <c r="I387" s="247" t="str">
        <f>IFERROR(VLOOKUP($C387,Steps[],5,FALSE),"")</f>
        <v/>
      </c>
      <c r="J387" s="251"/>
    </row>
    <row r="388" spans="1:10" ht="16" hidden="1" customHeight="1" outlineLevel="1">
      <c r="B388" s="16"/>
      <c r="C388" s="69"/>
      <c r="D388" s="246"/>
      <c r="E388" s="342" t="str">
        <f>IF(ISBLANK(C388),"",IFERROR(IF(fnStepCostHourly=0,fnStepNotAvail,IF(ISBLANK(D388),"",fnStepCostHourly*$D388*VLOOKUP(BasisYear,ChemPPI[],14,FALSE)/VLOOKUP(2017,ChemPPI[],14,FALSE))),""))</f>
        <v/>
      </c>
      <c r="F388" s="342" t="str">
        <f t="shared" si="20"/>
        <v/>
      </c>
      <c r="G388" s="341" t="str">
        <f t="shared" si="21"/>
        <v/>
      </c>
      <c r="H388" s="248"/>
      <c r="I388" s="247" t="str">
        <f>IFERROR(VLOOKUP($C388,Steps[],5,FALSE),"")</f>
        <v/>
      </c>
      <c r="J388" s="251"/>
    </row>
    <row r="389" spans="1:10" ht="16" hidden="1" customHeight="1" outlineLevel="1">
      <c r="B389" s="16"/>
      <c r="C389" s="69"/>
      <c r="D389" s="246"/>
      <c r="E389" s="342" t="str">
        <f>IF(ISBLANK(C389),"",IFERROR(IF(fnStepCostHourly=0,fnStepNotAvail,IF(ISBLANK(D389),"",fnStepCostHourly*$D389*VLOOKUP(BasisYear,ChemPPI[],14,FALSE)/VLOOKUP(2017,ChemPPI[],14,FALSE))),""))</f>
        <v/>
      </c>
      <c r="F389" s="342" t="str">
        <f t="shared" si="20"/>
        <v/>
      </c>
      <c r="G389" s="341" t="str">
        <f t="shared" si="21"/>
        <v/>
      </c>
      <c r="H389" s="248"/>
      <c r="I389" s="247" t="str">
        <f>IFERROR(VLOOKUP($C389,Steps[],5,FALSE),"")</f>
        <v/>
      </c>
      <c r="J389" s="251"/>
    </row>
    <row r="390" spans="1:10" ht="17" hidden="1" outlineLevel="1" thickBot="1">
      <c r="B390" s="252"/>
      <c r="C390" s="253"/>
      <c r="D390" s="253"/>
      <c r="E390" s="253"/>
      <c r="F390" s="253"/>
      <c r="G390" s="253"/>
      <c r="H390" s="253"/>
      <c r="I390" s="253"/>
      <c r="J390" s="254"/>
    </row>
    <row r="391" spans="1:10" ht="17" collapsed="1" thickBot="1">
      <c r="A391" s="314" t="str">
        <f>"&lt;– show/hide "&amp;B353</f>
        <v>&lt;– show/hide Step Process Template: Zeolite Beta with Metal Active Site</v>
      </c>
    </row>
    <row r="392" spans="1:10" ht="21" thickBot="1">
      <c r="B392" s="355" t="str">
        <f>"Step Process Template: "&amp;C395</f>
        <v>Step Process Template: Zeolite ZSM-5 (Bulk)</v>
      </c>
      <c r="C392" s="356"/>
      <c r="D392" s="356"/>
      <c r="E392" s="356"/>
      <c r="F392" s="356"/>
      <c r="G392" s="356"/>
      <c r="H392" s="357"/>
    </row>
    <row r="393" spans="1:10" hidden="1" outlineLevel="1">
      <c r="B393" s="13"/>
      <c r="C393" s="14"/>
      <c r="D393" s="14"/>
      <c r="E393" s="14"/>
      <c r="F393" s="14"/>
      <c r="G393" s="14"/>
      <c r="H393" s="15"/>
      <c r="J393" s="201"/>
    </row>
    <row r="394" spans="1:10" hidden="1" outlineLevel="1">
      <c r="B394" s="16"/>
      <c r="C394" s="17" t="s">
        <v>1055</v>
      </c>
      <c r="D394" s="256" t="s">
        <v>961</v>
      </c>
      <c r="E394" s="64" t="s">
        <v>953</v>
      </c>
      <c r="F394" s="64" t="s">
        <v>954</v>
      </c>
      <c r="G394" s="64" t="str">
        <f>"Cost ($/"&amp;OutMassUnit&amp;" catalyst)"</f>
        <v>Cost ($/lb catalyst)</v>
      </c>
      <c r="H394" s="250"/>
      <c r="J394" s="201"/>
    </row>
    <row r="395" spans="1:10" ht="16" hidden="1" customHeight="1" outlineLevel="1">
      <c r="B395" s="16"/>
      <c r="C395" s="18" t="s">
        <v>1090</v>
      </c>
      <c r="D395" s="256"/>
      <c r="E395" s="344">
        <f>SUM(E403:E422)</f>
        <v>0</v>
      </c>
      <c r="F395" s="344">
        <f>SUM(F403:F422)</f>
        <v>0</v>
      </c>
      <c r="G395" s="343">
        <f>SUM(G403:G422)</f>
        <v>0</v>
      </c>
      <c r="H395" s="336"/>
      <c r="J395" s="201"/>
    </row>
    <row r="396" spans="1:10" ht="16" hidden="1" customHeight="1" outlineLevel="1">
      <c r="B396" s="16"/>
      <c r="C396" s="353" t="str">
        <f>"Name: "&amp;C395</f>
        <v>Name: Zeolite ZSM-5 (Bulk)</v>
      </c>
      <c r="D396" s="256"/>
      <c r="E396" s="347"/>
      <c r="F396" s="347"/>
      <c r="G396" s="348"/>
      <c r="H396" s="336"/>
      <c r="J396" s="201"/>
    </row>
    <row r="397" spans="1:10" ht="16" hidden="1" customHeight="1" outlineLevel="1">
      <c r="B397" s="16"/>
      <c r="C397" s="17" t="s">
        <v>1070</v>
      </c>
      <c r="D397" s="256"/>
      <c r="E397" s="347"/>
      <c r="F397" s="347"/>
      <c r="G397" s="348"/>
      <c r="H397" s="336"/>
      <c r="J397" s="201"/>
    </row>
    <row r="398" spans="1:10" ht="16" hidden="1" customHeight="1" outlineLevel="1">
      <c r="B398" s="16"/>
      <c r="C398" s="18" t="s">
        <v>1085</v>
      </c>
      <c r="D398" s="256"/>
      <c r="E398" s="347"/>
      <c r="F398" s="347"/>
      <c r="G398" s="348"/>
      <c r="H398" s="336"/>
      <c r="J398" s="201"/>
    </row>
    <row r="399" spans="1:10" ht="16" hidden="1" customHeight="1" outlineLevel="1">
      <c r="B399" s="16"/>
      <c r="C399" s="18" t="s">
        <v>1073</v>
      </c>
      <c r="D399" s="256"/>
      <c r="E399" s="347"/>
      <c r="F399" s="347"/>
      <c r="G399" s="348"/>
      <c r="H399" s="336"/>
      <c r="J399" s="201"/>
    </row>
    <row r="400" spans="1:10" ht="17" hidden="1" outlineLevel="1" thickBot="1">
      <c r="B400" s="21"/>
      <c r="C400" s="22"/>
      <c r="D400" s="22"/>
      <c r="E400" s="22"/>
      <c r="F400" s="22"/>
      <c r="G400" s="22"/>
      <c r="H400" s="23"/>
      <c r="J400" s="201"/>
    </row>
    <row r="401" spans="2:10" ht="16" hidden="1" customHeight="1" outlineLevel="1">
      <c r="B401" s="16"/>
      <c r="C401" s="18"/>
      <c r="D401" s="18"/>
      <c r="E401" s="18"/>
      <c r="F401" s="18"/>
      <c r="G401" s="18"/>
      <c r="H401" s="18"/>
      <c r="I401" s="14"/>
      <c r="J401" s="15"/>
    </row>
    <row r="402" spans="2:10" ht="17" hidden="1" customHeight="1" outlineLevel="1">
      <c r="B402" s="16"/>
      <c r="C402" s="339" t="s">
        <v>937</v>
      </c>
      <c r="D402" s="339" t="s">
        <v>309</v>
      </c>
      <c r="E402" s="339" t="s">
        <v>953</v>
      </c>
      <c r="F402" s="339" t="s">
        <v>954</v>
      </c>
      <c r="G402" s="339" t="str">
        <f>"Cost ($/"&amp;OutMassUnit&amp;" catalyst)"</f>
        <v>Cost ($/lb catalyst)</v>
      </c>
      <c r="H402" s="339"/>
      <c r="I402" s="339" t="s">
        <v>207</v>
      </c>
      <c r="J402" s="250"/>
    </row>
    <row r="403" spans="2:10" ht="16" hidden="1" customHeight="1" outlineLevel="1">
      <c r="B403" s="16"/>
      <c r="C403" s="69" t="s">
        <v>931</v>
      </c>
      <c r="D403" s="246">
        <v>1</v>
      </c>
      <c r="E403" s="342" t="str">
        <f>IF(ISBLANK(C403),"",IFERROR(IF(fnStepCostHourly=0,fnStepNotAvail,IF(ISBLANK(D403),"",fnStepCostHourly*$D403*VLOOKUP(BasisYear,ChemPPI[],14,FALSE)/VLOOKUP(2017,ChemPPI[],14,FALSE))),""))</f>
        <v/>
      </c>
      <c r="F403" s="342" t="str">
        <f t="shared" ref="F403:F422" si="22">IFERROR($E403*$D$9*24,$E403)</f>
        <v/>
      </c>
      <c r="G403" s="341" t="str">
        <f t="shared" ref="G403:G422" si="23">IFERROR($F403/$D$7,$F403)</f>
        <v/>
      </c>
      <c r="H403" s="248"/>
      <c r="I403" s="247" t="str">
        <f>IFERROR(VLOOKUP($C403,Steps[],5,FALSE),"")</f>
        <v>-</v>
      </c>
      <c r="J403" s="251"/>
    </row>
    <row r="404" spans="2:10" ht="16" hidden="1" customHeight="1" outlineLevel="1">
      <c r="B404" s="16"/>
      <c r="C404" s="69" t="s">
        <v>924</v>
      </c>
      <c r="D404" s="246">
        <v>3</v>
      </c>
      <c r="E404" s="342" t="str">
        <f>IF(ISBLANK(C404),"",IFERROR(IF(fnStepCostHourly=0,fnStepNotAvail,IF(ISBLANK(D404),"",fnStepCostHourly*$D404*VLOOKUP(BasisYear,ChemPPI[],14,FALSE)/VLOOKUP(2017,ChemPPI[],14,FALSE))),""))</f>
        <v/>
      </c>
      <c r="F404" s="342" t="str">
        <f t="shared" si="22"/>
        <v/>
      </c>
      <c r="G404" s="341" t="str">
        <f t="shared" si="23"/>
        <v/>
      </c>
      <c r="H404" s="248"/>
      <c r="I404" s="247" t="str">
        <f>IFERROR(VLOOKUP($C404,Steps[],5,FALSE),"")</f>
        <v>-</v>
      </c>
      <c r="J404" s="251"/>
    </row>
    <row r="405" spans="2:10" ht="16" hidden="1" customHeight="1" outlineLevel="1">
      <c r="B405" s="16"/>
      <c r="C405" s="349" t="s">
        <v>926</v>
      </c>
      <c r="D405" s="350">
        <f>2*IF($D$6&lt;5,0,IF($D$6&lt;70,1,1))</f>
        <v>2</v>
      </c>
      <c r="E405" s="342" t="str">
        <f>IF(ISBLANK(C405),"",IFERROR(IF(fnStepCostHourly=0,fnStepNotAvail,IF(ISBLANK(D405),"",fnStepCostHourly*$D405*VLOOKUP(BasisYear,ChemPPI[],14,FALSE)/VLOOKUP(2017,ChemPPI[],14,FALSE))),""))</f>
        <v/>
      </c>
      <c r="F405" s="342" t="str">
        <f t="shared" si="22"/>
        <v/>
      </c>
      <c r="G405" s="341" t="str">
        <f t="shared" si="23"/>
        <v/>
      </c>
      <c r="H405" s="248"/>
      <c r="I405" s="247" t="str">
        <f>IFERROR(VLOOKUP($C405,Steps[],5,FALSE),"")</f>
        <v>Substitute with plate and frame at small scale</v>
      </c>
      <c r="J405" s="251"/>
    </row>
    <row r="406" spans="2:10" ht="16" hidden="1" customHeight="1" outlineLevel="1">
      <c r="B406" s="16"/>
      <c r="C406" s="349" t="s">
        <v>928</v>
      </c>
      <c r="D406" s="350">
        <f>2*IF($D$6&lt;5,1,IF($D$6&lt;70,0,0))</f>
        <v>0</v>
      </c>
      <c r="E406" s="342" t="str">
        <f>IF(ISBLANK(C406),"",IFERROR(IF(fnStepCostHourly=0,fnStepNotAvail,IF(ISBLANK(D406),"",fnStepCostHourly*$D406*VLOOKUP(BasisYear,ChemPPI[],14,FALSE)/VLOOKUP(2017,ChemPPI[],14,FALSE))),""))</f>
        <v/>
      </c>
      <c r="F406" s="342" t="str">
        <f t="shared" si="22"/>
        <v/>
      </c>
      <c r="G406" s="341" t="str">
        <f t="shared" si="23"/>
        <v/>
      </c>
      <c r="H406" s="248"/>
      <c r="I406" s="247" t="str">
        <f>IFERROR(VLOOKUP($C406,Steps[],5,FALSE),"")</f>
        <v>Substitute with belt or rotary vacuum at M/L scale</v>
      </c>
      <c r="J406" s="251"/>
    </row>
    <row r="407" spans="2:10" ht="16" hidden="1" customHeight="1" outlineLevel="1">
      <c r="B407" s="16"/>
      <c r="C407" s="69" t="s">
        <v>932</v>
      </c>
      <c r="D407" s="246">
        <v>2</v>
      </c>
      <c r="E407" s="342" t="str">
        <f>IF(ISBLANK(C407),"",IFERROR(IF(fnStepCostHourly=0,fnStepNotAvail,IF(ISBLANK(D407),"",fnStepCostHourly*$D407*VLOOKUP(BasisYear,ChemPPI[],14,FALSE)/VLOOKUP(2017,ChemPPI[],14,FALSE))),""))</f>
        <v/>
      </c>
      <c r="F407" s="342" t="str">
        <f t="shared" si="22"/>
        <v/>
      </c>
      <c r="G407" s="341" t="str">
        <f t="shared" si="23"/>
        <v/>
      </c>
      <c r="H407" s="248"/>
      <c r="I407" s="247" t="str">
        <f>IFERROR(VLOOKUP($C407,Steps[],5,FALSE),"")</f>
        <v>-</v>
      </c>
      <c r="J407" s="251"/>
    </row>
    <row r="408" spans="2:10" ht="16" hidden="1" customHeight="1" outlineLevel="1">
      <c r="B408" s="16"/>
      <c r="C408" s="349" t="s">
        <v>926</v>
      </c>
      <c r="D408" s="350">
        <f>2*IF($D$6&lt;5,0,IF($D$6&lt;70,1,1))</f>
        <v>2</v>
      </c>
      <c r="E408" s="342" t="str">
        <f>IF(ISBLANK(C408),"",IFERROR(IF(fnStepCostHourly=0,fnStepNotAvail,IF(ISBLANK(D408),"",fnStepCostHourly*$D408*VLOOKUP(BasisYear,ChemPPI[],14,FALSE)/VLOOKUP(2017,ChemPPI[],14,FALSE))),""))</f>
        <v/>
      </c>
      <c r="F408" s="342" t="str">
        <f t="shared" si="22"/>
        <v/>
      </c>
      <c r="G408" s="341" t="str">
        <f t="shared" si="23"/>
        <v/>
      </c>
      <c r="H408" s="248"/>
      <c r="I408" s="247" t="str">
        <f>IFERROR(VLOOKUP($C408,Steps[],5,FALSE),"")</f>
        <v>Substitute with plate and frame at small scale</v>
      </c>
      <c r="J408" s="251"/>
    </row>
    <row r="409" spans="2:10" ht="16" hidden="1" customHeight="1" outlineLevel="1">
      <c r="B409" s="16"/>
      <c r="C409" s="349" t="s">
        <v>928</v>
      </c>
      <c r="D409" s="350">
        <f>2*IF($D$6&lt;5,1,IF($D$6&lt;70,0,0))</f>
        <v>0</v>
      </c>
      <c r="E409" s="342" t="str">
        <f>IF(ISBLANK(C409),"",IFERROR(IF(fnStepCostHourly=0,fnStepNotAvail,IF(ISBLANK(D409),"",fnStepCostHourly*$D409*VLOOKUP(BasisYear,ChemPPI[],14,FALSE)/VLOOKUP(2017,ChemPPI[],14,FALSE))),""))</f>
        <v/>
      </c>
      <c r="F409" s="342" t="str">
        <f t="shared" si="22"/>
        <v/>
      </c>
      <c r="G409" s="341" t="str">
        <f t="shared" si="23"/>
        <v/>
      </c>
      <c r="H409" s="248"/>
      <c r="I409" s="247" t="str">
        <f>IFERROR(VLOOKUP($C409,Steps[],5,FALSE),"")</f>
        <v>Substitute with belt or rotary vacuum at M/L scale</v>
      </c>
      <c r="J409" s="251"/>
    </row>
    <row r="410" spans="2:10" ht="16" hidden="1" customHeight="1" outlineLevel="1">
      <c r="B410" s="16"/>
      <c r="C410" s="69" t="s">
        <v>1075</v>
      </c>
      <c r="D410" s="246">
        <v>2</v>
      </c>
      <c r="E410" s="342" t="str">
        <f>IF(ISBLANK(C410),"",IFERROR(IF(fnStepCostHourly=0,fnStepNotAvail,IF(ISBLANK(D410),"",fnStepCostHourly*$D410*VLOOKUP(BasisYear,ChemPPI[],14,FALSE)/VLOOKUP(2017,ChemPPI[],14,FALSE))),""))</f>
        <v/>
      </c>
      <c r="F410" s="342" t="str">
        <f t="shared" si="22"/>
        <v/>
      </c>
      <c r="G410" s="341" t="str">
        <f t="shared" si="23"/>
        <v/>
      </c>
      <c r="H410" s="248"/>
      <c r="I410" s="247" t="str">
        <f>IFERROR(VLOOKUP($C410,Steps[],5,FALSE),"")</f>
        <v>For higher temp use kiln</v>
      </c>
      <c r="J410" s="251"/>
    </row>
    <row r="411" spans="2:10" ht="16" hidden="1" customHeight="1" outlineLevel="1">
      <c r="B411" s="16"/>
      <c r="C411" s="349" t="s">
        <v>946</v>
      </c>
      <c r="D411" s="350">
        <f>1*IF($D$6&lt;5,0,IF($D$6&lt;70,1,1))</f>
        <v>1</v>
      </c>
      <c r="E411" s="342" t="str">
        <f>IF(ISBLANK(C411),"",IFERROR(IF(fnStepCostHourly=0,fnStepNotAvail,IF(ISBLANK(D411),"",fnStepCostHourly*$D411*VLOOKUP(BasisYear,ChemPPI[],14,FALSE)/VLOOKUP(2017,ChemPPI[],14,FALSE))),""))</f>
        <v/>
      </c>
      <c r="F411" s="342" t="str">
        <f t="shared" si="22"/>
        <v/>
      </c>
      <c r="G411" s="341" t="str">
        <f t="shared" si="23"/>
        <v/>
      </c>
      <c r="H411" s="248"/>
      <c r="I411" s="247" t="str">
        <f>IFERROR(VLOOKUP($C411,Steps[],5,FALSE),"")</f>
        <v>A.k.a. calciner. Sub with batch kiln at small scale</v>
      </c>
      <c r="J411" s="251"/>
    </row>
    <row r="412" spans="2:10" ht="16" hidden="1" customHeight="1" outlineLevel="1">
      <c r="B412" s="16"/>
      <c r="C412" s="349" t="s">
        <v>948</v>
      </c>
      <c r="D412" s="350">
        <f>1*IF($D$6&lt;5,1,IF($D$6&lt;70,0,0))</f>
        <v>0</v>
      </c>
      <c r="E412" s="342" t="str">
        <f>IF(ISBLANK(C412),"",IFERROR(IF(fnStepCostHourly=0,fnStepNotAvail,IF(ISBLANK(D412),"",fnStepCostHourly*$D412*VLOOKUP(BasisYear,ChemPPI[],14,FALSE)/VLOOKUP(2017,ChemPPI[],14,FALSE))),""))</f>
        <v/>
      </c>
      <c r="F412" s="342" t="str">
        <f t="shared" si="22"/>
        <v/>
      </c>
      <c r="G412" s="341" t="str">
        <f t="shared" si="23"/>
        <v/>
      </c>
      <c r="H412" s="248"/>
      <c r="I412" s="247" t="str">
        <f>IFERROR(VLOOKUP($C412,Steps[],5,FALSE),"")</f>
        <v>A.k.a. calciner. Sub with continuous kiln at M/L scale</v>
      </c>
      <c r="J412" s="251"/>
    </row>
    <row r="413" spans="2:10" ht="16" hidden="1" customHeight="1" outlineLevel="1">
      <c r="B413" s="16"/>
      <c r="C413" s="69" t="s">
        <v>939</v>
      </c>
      <c r="D413" s="246">
        <v>1</v>
      </c>
      <c r="E413" s="342" t="str">
        <f>IF(ISBLANK(C413),"",IFERROR(IF(fnStepCostHourly=0,fnStepNotAvail,IF(ISBLANK(D413),"",fnStepCostHourly*$D413*VLOOKUP(BasisYear,ChemPPI[],14,FALSE)/VLOOKUP(2017,ChemPPI[],14,FALSE))),""))</f>
        <v/>
      </c>
      <c r="F413" s="342" t="str">
        <f t="shared" si="22"/>
        <v/>
      </c>
      <c r="G413" s="341" t="str">
        <f t="shared" si="23"/>
        <v/>
      </c>
      <c r="H413" s="248"/>
      <c r="I413" s="247" t="str">
        <f>IFERROR(VLOOKUP($C413,Steps[],5,FALSE),"")</f>
        <v>-</v>
      </c>
      <c r="J413" s="251"/>
    </row>
    <row r="414" spans="2:10" ht="16" hidden="1" customHeight="1" outlineLevel="1">
      <c r="B414" s="16"/>
      <c r="C414" s="69" t="s">
        <v>929</v>
      </c>
      <c r="D414" s="246">
        <v>1</v>
      </c>
      <c r="E414" s="342" t="str">
        <f>IF(ISBLANK(C414),"",IFERROR(IF(fnStepCostHourly=0,fnStepNotAvail,IF(ISBLANK(D414),"",fnStepCostHourly*$D414*VLOOKUP(BasisYear,ChemPPI[],14,FALSE)/VLOOKUP(2017,ChemPPI[],14,FALSE))),""))</f>
        <v/>
      </c>
      <c r="F414" s="342" t="str">
        <f t="shared" si="22"/>
        <v/>
      </c>
      <c r="G414" s="341" t="str">
        <f t="shared" si="23"/>
        <v/>
      </c>
      <c r="H414" s="248"/>
      <c r="I414" s="247" t="str">
        <f>IFERROR(VLOOKUP($C414,Steps[],5,FALSE),"")</f>
        <v>-</v>
      </c>
      <c r="J414" s="251"/>
    </row>
    <row r="415" spans="2:10" ht="16" hidden="1" customHeight="1" outlineLevel="1">
      <c r="B415" s="16"/>
      <c r="C415" s="69"/>
      <c r="D415" s="246"/>
      <c r="E415" s="342" t="str">
        <f>IF(ISBLANK(C415),"",IFERROR(IF(fnStepCostHourly=0,fnStepNotAvail,IF(ISBLANK(D415),"",fnStepCostHourly*$D415*VLOOKUP(BasisYear,ChemPPI[],14,FALSE)/VLOOKUP(2017,ChemPPI[],14,FALSE))),""))</f>
        <v/>
      </c>
      <c r="F415" s="342" t="str">
        <f t="shared" si="22"/>
        <v/>
      </c>
      <c r="G415" s="341" t="str">
        <f t="shared" si="23"/>
        <v/>
      </c>
      <c r="H415" s="248"/>
      <c r="I415" s="247" t="str">
        <f>IFERROR(VLOOKUP($C415,Steps[],5,FALSE),"")</f>
        <v/>
      </c>
      <c r="J415" s="251"/>
    </row>
    <row r="416" spans="2:10" ht="16" hidden="1" customHeight="1" outlineLevel="1">
      <c r="B416" s="16"/>
      <c r="C416" s="69"/>
      <c r="D416" s="246"/>
      <c r="E416" s="342" t="str">
        <f>IF(ISBLANK(C416),"",IFERROR(IF(fnStepCostHourly=0,fnStepNotAvail,IF(ISBLANK(D416),"",fnStepCostHourly*$D416*VLOOKUP(BasisYear,ChemPPI[],14,FALSE)/VLOOKUP(2017,ChemPPI[],14,FALSE))),""))</f>
        <v/>
      </c>
      <c r="F416" s="342" t="str">
        <f t="shared" si="22"/>
        <v/>
      </c>
      <c r="G416" s="341" t="str">
        <f t="shared" si="23"/>
        <v/>
      </c>
      <c r="H416" s="248"/>
      <c r="I416" s="247" t="str">
        <f>IFERROR(VLOOKUP($C416,Steps[],5,FALSE),"")</f>
        <v/>
      </c>
      <c r="J416" s="251"/>
    </row>
    <row r="417" spans="1:10" ht="16" hidden="1" customHeight="1" outlineLevel="1">
      <c r="B417" s="16"/>
      <c r="C417" s="69"/>
      <c r="D417" s="246"/>
      <c r="E417" s="342" t="str">
        <f>IF(ISBLANK(C417),"",IFERROR(IF(fnStepCostHourly=0,fnStepNotAvail,IF(ISBLANK(D417),"",fnStepCostHourly*$D417*VLOOKUP(BasisYear,ChemPPI[],14,FALSE)/VLOOKUP(2017,ChemPPI[],14,FALSE))),""))</f>
        <v/>
      </c>
      <c r="F417" s="342" t="str">
        <f t="shared" si="22"/>
        <v/>
      </c>
      <c r="G417" s="341" t="str">
        <f t="shared" si="23"/>
        <v/>
      </c>
      <c r="H417" s="248"/>
      <c r="I417" s="247" t="str">
        <f>IFERROR(VLOOKUP($C417,Steps[],5,FALSE),"")</f>
        <v/>
      </c>
      <c r="J417" s="251"/>
    </row>
    <row r="418" spans="1:10" ht="16" hidden="1" customHeight="1" outlineLevel="1">
      <c r="B418" s="16"/>
      <c r="C418" s="69"/>
      <c r="D418" s="246"/>
      <c r="E418" s="342" t="str">
        <f>IF(ISBLANK(C418),"",IFERROR(IF(fnStepCostHourly=0,fnStepNotAvail,IF(ISBLANK(D418),"",fnStepCostHourly*$D418*VLOOKUP(BasisYear,ChemPPI[],14,FALSE)/VLOOKUP(2017,ChemPPI[],14,FALSE))),""))</f>
        <v/>
      </c>
      <c r="F418" s="342" t="str">
        <f t="shared" si="22"/>
        <v/>
      </c>
      <c r="G418" s="341" t="str">
        <f t="shared" si="23"/>
        <v/>
      </c>
      <c r="H418" s="248"/>
      <c r="I418" s="247" t="str">
        <f>IFERROR(VLOOKUP($C418,Steps[],5,FALSE),"")</f>
        <v/>
      </c>
      <c r="J418" s="251"/>
    </row>
    <row r="419" spans="1:10" ht="16" hidden="1" customHeight="1" outlineLevel="1">
      <c r="B419" s="16"/>
      <c r="C419" s="69"/>
      <c r="D419" s="246"/>
      <c r="E419" s="342" t="str">
        <f>IF(ISBLANK(C419),"",IFERROR(IF(fnStepCostHourly=0,fnStepNotAvail,IF(ISBLANK(D419),"",fnStepCostHourly*$D419*VLOOKUP(BasisYear,ChemPPI[],14,FALSE)/VLOOKUP(2017,ChemPPI[],14,FALSE))),""))</f>
        <v/>
      </c>
      <c r="F419" s="342" t="str">
        <f t="shared" si="22"/>
        <v/>
      </c>
      <c r="G419" s="341" t="str">
        <f t="shared" si="23"/>
        <v/>
      </c>
      <c r="H419" s="248"/>
      <c r="I419" s="247" t="str">
        <f>IFERROR(VLOOKUP($C419,Steps[],5,FALSE),"")</f>
        <v/>
      </c>
      <c r="J419" s="251"/>
    </row>
    <row r="420" spans="1:10" ht="16" hidden="1" customHeight="1" outlineLevel="1">
      <c r="B420" s="16"/>
      <c r="C420" s="69"/>
      <c r="D420" s="246"/>
      <c r="E420" s="342" t="str">
        <f>IF(ISBLANK(C420),"",IFERROR(IF(fnStepCostHourly=0,fnStepNotAvail,IF(ISBLANK(D420),"",fnStepCostHourly*$D420*VLOOKUP(BasisYear,ChemPPI[],14,FALSE)/VLOOKUP(2017,ChemPPI[],14,FALSE))),""))</f>
        <v/>
      </c>
      <c r="F420" s="342" t="str">
        <f t="shared" si="22"/>
        <v/>
      </c>
      <c r="G420" s="341" t="str">
        <f t="shared" si="23"/>
        <v/>
      </c>
      <c r="H420" s="248"/>
      <c r="I420" s="247" t="str">
        <f>IFERROR(VLOOKUP($C420,Steps[],5,FALSE),"")</f>
        <v/>
      </c>
      <c r="J420" s="251"/>
    </row>
    <row r="421" spans="1:10" ht="16" hidden="1" customHeight="1" outlineLevel="1">
      <c r="B421" s="16"/>
      <c r="C421" s="69"/>
      <c r="D421" s="246"/>
      <c r="E421" s="342" t="str">
        <f>IF(ISBLANK(C421),"",IFERROR(IF(fnStepCostHourly=0,fnStepNotAvail,IF(ISBLANK(D421),"",fnStepCostHourly*$D421*VLOOKUP(BasisYear,ChemPPI[],14,FALSE)/VLOOKUP(2017,ChemPPI[],14,FALSE))),""))</f>
        <v/>
      </c>
      <c r="F421" s="342" t="str">
        <f t="shared" si="22"/>
        <v/>
      </c>
      <c r="G421" s="341" t="str">
        <f t="shared" si="23"/>
        <v/>
      </c>
      <c r="H421" s="248"/>
      <c r="I421" s="247" t="str">
        <f>IFERROR(VLOOKUP($C421,Steps[],5,FALSE),"")</f>
        <v/>
      </c>
      <c r="J421" s="251"/>
    </row>
    <row r="422" spans="1:10" ht="16" hidden="1" customHeight="1" outlineLevel="1">
      <c r="B422" s="16"/>
      <c r="C422" s="69"/>
      <c r="D422" s="246"/>
      <c r="E422" s="342" t="str">
        <f>IF(ISBLANK(C422),"",IFERROR(IF(fnStepCostHourly=0,fnStepNotAvail,IF(ISBLANK(D422),"",fnStepCostHourly*$D422*VLOOKUP(BasisYear,ChemPPI[],14,FALSE)/VLOOKUP(2017,ChemPPI[],14,FALSE))),""))</f>
        <v/>
      </c>
      <c r="F422" s="342" t="str">
        <f t="shared" si="22"/>
        <v/>
      </c>
      <c r="G422" s="341" t="str">
        <f t="shared" si="23"/>
        <v/>
      </c>
      <c r="H422" s="248"/>
      <c r="I422" s="247" t="str">
        <f>IFERROR(VLOOKUP($C422,Steps[],5,FALSE),"")</f>
        <v/>
      </c>
      <c r="J422" s="251"/>
    </row>
    <row r="423" spans="1:10" ht="17" hidden="1" outlineLevel="1" thickBot="1">
      <c r="B423" s="252"/>
      <c r="C423" s="253"/>
      <c r="D423" s="253"/>
      <c r="E423" s="253"/>
      <c r="F423" s="253"/>
      <c r="G423" s="253"/>
      <c r="H423" s="253"/>
      <c r="I423" s="253"/>
      <c r="J423" s="254"/>
    </row>
    <row r="424" spans="1:10" ht="17" collapsed="1" thickBot="1">
      <c r="A424" s="314" t="str">
        <f>"&lt;– show/hide "&amp;B392</f>
        <v>&lt;– show/hide Step Process Template: Zeolite ZSM-5 (Bulk)</v>
      </c>
    </row>
    <row r="425" spans="1:10" ht="21" thickBot="1">
      <c r="B425" s="355" t="str">
        <f>"Step Process Template: "&amp;C428</f>
        <v>Step Process Template: Zeolite ZSM-5 Diluted with Metal Oxide</v>
      </c>
      <c r="C425" s="356"/>
      <c r="D425" s="356"/>
      <c r="E425" s="356"/>
      <c r="F425" s="356"/>
      <c r="G425" s="356"/>
      <c r="H425" s="357"/>
    </row>
    <row r="426" spans="1:10" hidden="1" outlineLevel="1">
      <c r="B426" s="13"/>
      <c r="C426" s="14"/>
      <c r="D426" s="14"/>
      <c r="E426" s="14"/>
      <c r="F426" s="14"/>
      <c r="G426" s="14"/>
      <c r="H426" s="15"/>
      <c r="J426" s="201"/>
    </row>
    <row r="427" spans="1:10" hidden="1" outlineLevel="1">
      <c r="B427" s="16"/>
      <c r="C427" s="17" t="s">
        <v>1055</v>
      </c>
      <c r="D427" s="256" t="s">
        <v>961</v>
      </c>
      <c r="E427" s="64" t="s">
        <v>953</v>
      </c>
      <c r="F427" s="64" t="s">
        <v>954</v>
      </c>
      <c r="G427" s="64" t="str">
        <f>"Cost ($/"&amp;OutMassUnit&amp;" catalyst)"</f>
        <v>Cost ($/lb catalyst)</v>
      </c>
      <c r="H427" s="250"/>
      <c r="J427" s="201"/>
    </row>
    <row r="428" spans="1:10" ht="16" hidden="1" customHeight="1" outlineLevel="1">
      <c r="B428" s="16"/>
      <c r="C428" s="18" t="s">
        <v>1091</v>
      </c>
      <c r="D428" s="256"/>
      <c r="E428" s="344">
        <f>SUM(E436:E455)</f>
        <v>0</v>
      </c>
      <c r="F428" s="344">
        <f>SUM(F436:F455)</f>
        <v>0</v>
      </c>
      <c r="G428" s="343">
        <f>SUM(G436:G455)</f>
        <v>0</v>
      </c>
      <c r="H428" s="336"/>
      <c r="J428" s="201"/>
    </row>
    <row r="429" spans="1:10" ht="16" hidden="1" customHeight="1" outlineLevel="1">
      <c r="B429" s="16"/>
      <c r="C429" s="353" t="str">
        <f>"Name: "&amp;C428</f>
        <v>Name: Zeolite ZSM-5 Diluted with Metal Oxide</v>
      </c>
      <c r="D429" s="256"/>
      <c r="E429" s="347"/>
      <c r="F429" s="347"/>
      <c r="G429" s="348"/>
      <c r="H429" s="336"/>
      <c r="J429" s="201"/>
    </row>
    <row r="430" spans="1:10" ht="16" hidden="1" customHeight="1" outlineLevel="1">
      <c r="B430" s="16"/>
      <c r="C430" s="17" t="s">
        <v>1070</v>
      </c>
      <c r="D430" s="256"/>
      <c r="E430" s="347"/>
      <c r="F430" s="347"/>
      <c r="G430" s="348"/>
      <c r="H430" s="336"/>
      <c r="J430" s="201"/>
    </row>
    <row r="431" spans="1:10" ht="16" hidden="1" customHeight="1" outlineLevel="1">
      <c r="B431" s="16"/>
      <c r="C431" s="18" t="s">
        <v>1086</v>
      </c>
      <c r="D431" s="256"/>
      <c r="E431" s="347"/>
      <c r="F431" s="347"/>
      <c r="G431" s="348"/>
      <c r="H431" s="336"/>
      <c r="J431" s="201"/>
    </row>
    <row r="432" spans="1:10" ht="16" hidden="1" customHeight="1" outlineLevel="1">
      <c r="B432" s="16"/>
      <c r="C432" s="18" t="s">
        <v>1073</v>
      </c>
      <c r="D432" s="256"/>
      <c r="E432" s="347"/>
      <c r="F432" s="347"/>
      <c r="G432" s="348"/>
      <c r="H432" s="336"/>
      <c r="J432" s="201"/>
    </row>
    <row r="433" spans="2:10" ht="17" hidden="1" outlineLevel="1" thickBot="1">
      <c r="B433" s="21"/>
      <c r="C433" s="22"/>
      <c r="D433" s="22"/>
      <c r="E433" s="22"/>
      <c r="F433" s="22"/>
      <c r="G433" s="22"/>
      <c r="H433" s="23"/>
      <c r="J433" s="201"/>
    </row>
    <row r="434" spans="2:10" ht="16" hidden="1" customHeight="1" outlineLevel="1">
      <c r="B434" s="16"/>
      <c r="C434" s="18"/>
      <c r="D434" s="18"/>
      <c r="E434" s="18"/>
      <c r="F434" s="18"/>
      <c r="G434" s="18"/>
      <c r="H434" s="18"/>
      <c r="I434" s="14"/>
      <c r="J434" s="15"/>
    </row>
    <row r="435" spans="2:10" ht="17" hidden="1" customHeight="1" outlineLevel="1">
      <c r="B435" s="16"/>
      <c r="C435" s="339" t="s">
        <v>937</v>
      </c>
      <c r="D435" s="339" t="s">
        <v>309</v>
      </c>
      <c r="E435" s="339" t="s">
        <v>953</v>
      </c>
      <c r="F435" s="339" t="s">
        <v>954</v>
      </c>
      <c r="G435" s="339" t="str">
        <f>"Cost ($/"&amp;OutMassUnit&amp;" catalyst)"</f>
        <v>Cost ($/lb catalyst)</v>
      </c>
      <c r="H435" s="339"/>
      <c r="I435" s="339" t="s">
        <v>207</v>
      </c>
      <c r="J435" s="250"/>
    </row>
    <row r="436" spans="2:10" ht="16" hidden="1" customHeight="1" outlineLevel="1">
      <c r="B436" s="16"/>
      <c r="C436" s="69" t="s">
        <v>931</v>
      </c>
      <c r="D436" s="246">
        <v>1</v>
      </c>
      <c r="E436" s="342" t="str">
        <f>IF(ISBLANK(C436),"",IFERROR(IF(fnStepCostHourly=0,fnStepNotAvail,IF(ISBLANK(D436),"",fnStepCostHourly*$D436*VLOOKUP(BasisYear,ChemPPI[],14,FALSE)/VLOOKUP(2017,ChemPPI[],14,FALSE))),""))</f>
        <v/>
      </c>
      <c r="F436" s="342" t="str">
        <f t="shared" ref="F436:F455" si="24">IFERROR($E436*$D$9*24,$E436)</f>
        <v/>
      </c>
      <c r="G436" s="341" t="str">
        <f t="shared" ref="G436:G455" si="25">IFERROR($F436/$D$7,$F436)</f>
        <v/>
      </c>
      <c r="H436" s="248"/>
      <c r="I436" s="247" t="str">
        <f>IFERROR(VLOOKUP($C436,Steps[],5,FALSE),"")</f>
        <v>-</v>
      </c>
      <c r="J436" s="251"/>
    </row>
    <row r="437" spans="2:10" ht="16" hidden="1" customHeight="1" outlineLevel="1">
      <c r="B437" s="16"/>
      <c r="C437" s="69" t="s">
        <v>924</v>
      </c>
      <c r="D437" s="246">
        <v>1</v>
      </c>
      <c r="E437" s="342" t="str">
        <f>IF(ISBLANK(C437),"",IFERROR(IF(fnStepCostHourly=0,fnStepNotAvail,IF(ISBLANK(D437),"",fnStepCostHourly*$D437*VLOOKUP(BasisYear,ChemPPI[],14,FALSE)/VLOOKUP(2017,ChemPPI[],14,FALSE))),""))</f>
        <v/>
      </c>
      <c r="F437" s="342" t="str">
        <f t="shared" si="24"/>
        <v/>
      </c>
      <c r="G437" s="341" t="str">
        <f t="shared" si="25"/>
        <v/>
      </c>
      <c r="H437" s="248"/>
      <c r="I437" s="247" t="str">
        <f>IFERROR(VLOOKUP($C437,Steps[],5,FALSE),"")</f>
        <v>-</v>
      </c>
      <c r="J437" s="251"/>
    </row>
    <row r="438" spans="2:10" ht="16" hidden="1" customHeight="1" outlineLevel="1">
      <c r="B438" s="16"/>
      <c r="C438" s="349" t="s">
        <v>926</v>
      </c>
      <c r="D438" s="350">
        <f>1*IF($D$6&lt;5,0,IF($D$6&lt;70,1,1))</f>
        <v>1</v>
      </c>
      <c r="E438" s="342" t="str">
        <f>IF(ISBLANK(C438),"",IFERROR(IF(fnStepCostHourly=0,fnStepNotAvail,IF(ISBLANK(D438),"",fnStepCostHourly*$D438*VLOOKUP(BasisYear,ChemPPI[],14,FALSE)/VLOOKUP(2017,ChemPPI[],14,FALSE))),""))</f>
        <v/>
      </c>
      <c r="F438" s="342" t="str">
        <f t="shared" si="24"/>
        <v/>
      </c>
      <c r="G438" s="341" t="str">
        <f t="shared" si="25"/>
        <v/>
      </c>
      <c r="H438" s="248"/>
      <c r="I438" s="247" t="str">
        <f>IFERROR(VLOOKUP($C438,Steps[],5,FALSE),"")</f>
        <v>Substitute with plate and frame at small scale</v>
      </c>
      <c r="J438" s="251"/>
    </row>
    <row r="439" spans="2:10" ht="16" hidden="1" customHeight="1" outlineLevel="1">
      <c r="B439" s="16"/>
      <c r="C439" s="349" t="s">
        <v>928</v>
      </c>
      <c r="D439" s="350">
        <f>1*IF($D$6&lt;5,1,IF($D$6&lt;70,0,0))</f>
        <v>0</v>
      </c>
      <c r="E439" s="342" t="str">
        <f>IF(ISBLANK(C439),"",IFERROR(IF(fnStepCostHourly=0,fnStepNotAvail,IF(ISBLANK(D439),"",fnStepCostHourly*$D439*VLOOKUP(BasisYear,ChemPPI[],14,FALSE)/VLOOKUP(2017,ChemPPI[],14,FALSE))),""))</f>
        <v/>
      </c>
      <c r="F439" s="342" t="str">
        <f t="shared" si="24"/>
        <v/>
      </c>
      <c r="G439" s="341" t="str">
        <f t="shared" si="25"/>
        <v/>
      </c>
      <c r="H439" s="248"/>
      <c r="I439" s="247" t="str">
        <f>IFERROR(VLOOKUP($C439,Steps[],5,FALSE),"")</f>
        <v>Substitute with belt or rotary vacuum at M/L scale</v>
      </c>
      <c r="J439" s="251"/>
    </row>
    <row r="440" spans="2:10" ht="16" hidden="1" customHeight="1" outlineLevel="1">
      <c r="B440" s="16"/>
      <c r="C440" s="69" t="s">
        <v>932</v>
      </c>
      <c r="D440" s="246">
        <v>2</v>
      </c>
      <c r="E440" s="342" t="str">
        <f>IF(ISBLANK(C440),"",IFERROR(IF(fnStepCostHourly=0,fnStepNotAvail,IF(ISBLANK(D440),"",fnStepCostHourly*$D440*VLOOKUP(BasisYear,ChemPPI[],14,FALSE)/VLOOKUP(2017,ChemPPI[],14,FALSE))),""))</f>
        <v/>
      </c>
      <c r="F440" s="342" t="str">
        <f t="shared" si="24"/>
        <v/>
      </c>
      <c r="G440" s="341" t="str">
        <f t="shared" si="25"/>
        <v/>
      </c>
      <c r="H440" s="248"/>
      <c r="I440" s="247" t="str">
        <f>IFERROR(VLOOKUP($C440,Steps[],5,FALSE),"")</f>
        <v>-</v>
      </c>
      <c r="J440" s="251"/>
    </row>
    <row r="441" spans="2:10" ht="16" hidden="1" customHeight="1" outlineLevel="1">
      <c r="B441" s="16"/>
      <c r="C441" s="349" t="s">
        <v>926</v>
      </c>
      <c r="D441" s="350">
        <f>2*IF($D$6&lt;5,0,IF($D$6&lt;70,1,1))</f>
        <v>2</v>
      </c>
      <c r="E441" s="342" t="str">
        <f>IF(ISBLANK(C441),"",IFERROR(IF(fnStepCostHourly=0,fnStepNotAvail,IF(ISBLANK(D441),"",fnStepCostHourly*$D441*VLOOKUP(BasisYear,ChemPPI[],14,FALSE)/VLOOKUP(2017,ChemPPI[],14,FALSE))),""))</f>
        <v/>
      </c>
      <c r="F441" s="342" t="str">
        <f t="shared" si="24"/>
        <v/>
      </c>
      <c r="G441" s="341" t="str">
        <f t="shared" si="25"/>
        <v/>
      </c>
      <c r="H441" s="248"/>
      <c r="I441" s="247" t="str">
        <f>IFERROR(VLOOKUP($C441,Steps[],5,FALSE),"")</f>
        <v>Substitute with plate and frame at small scale</v>
      </c>
      <c r="J441" s="251"/>
    </row>
    <row r="442" spans="2:10" ht="16" hidden="1" customHeight="1" outlineLevel="1">
      <c r="B442" s="16"/>
      <c r="C442" s="349" t="s">
        <v>928</v>
      </c>
      <c r="D442" s="350">
        <f>2*IF($D$6&lt;5,1,IF($D$6&lt;70,0,0))</f>
        <v>0</v>
      </c>
      <c r="E442" s="342" t="str">
        <f>IF(ISBLANK(C442),"",IFERROR(IF(fnStepCostHourly=0,fnStepNotAvail,IF(ISBLANK(D442),"",fnStepCostHourly*$D442*VLOOKUP(BasisYear,ChemPPI[],14,FALSE)/VLOOKUP(2017,ChemPPI[],14,FALSE))),""))</f>
        <v/>
      </c>
      <c r="F442" s="342" t="str">
        <f t="shared" si="24"/>
        <v/>
      </c>
      <c r="G442" s="341" t="str">
        <f t="shared" si="25"/>
        <v/>
      </c>
      <c r="H442" s="248"/>
      <c r="I442" s="247" t="str">
        <f>IFERROR(VLOOKUP($C442,Steps[],5,FALSE),"")</f>
        <v>Substitute with belt or rotary vacuum at M/L scale</v>
      </c>
      <c r="J442" s="251"/>
    </row>
    <row r="443" spans="2:10" ht="16" hidden="1" customHeight="1" outlineLevel="1">
      <c r="B443" s="16"/>
      <c r="C443" s="69" t="s">
        <v>1075</v>
      </c>
      <c r="D443" s="246">
        <v>2</v>
      </c>
      <c r="E443" s="342" t="str">
        <f>IF(ISBLANK(C443),"",IFERROR(IF(fnStepCostHourly=0,fnStepNotAvail,IF(ISBLANK(D443),"",fnStepCostHourly*$D443*VLOOKUP(BasisYear,ChemPPI[],14,FALSE)/VLOOKUP(2017,ChemPPI[],14,FALSE))),""))</f>
        <v/>
      </c>
      <c r="F443" s="342" t="str">
        <f t="shared" si="24"/>
        <v/>
      </c>
      <c r="G443" s="341" t="str">
        <f t="shared" si="25"/>
        <v/>
      </c>
      <c r="H443" s="248"/>
      <c r="I443" s="247" t="str">
        <f>IFERROR(VLOOKUP($C443,Steps[],5,FALSE),"")</f>
        <v>For higher temp use kiln</v>
      </c>
      <c r="J443" s="251"/>
    </row>
    <row r="444" spans="2:10" ht="16" hidden="1" customHeight="1" outlineLevel="1">
      <c r="B444" s="16"/>
      <c r="C444" s="349" t="s">
        <v>946</v>
      </c>
      <c r="D444" s="350">
        <f>1*IF($D$6&lt;5,0,IF($D$6&lt;70,1,1))</f>
        <v>1</v>
      </c>
      <c r="E444" s="342" t="str">
        <f>IF(ISBLANK(C444),"",IFERROR(IF(fnStepCostHourly=0,fnStepNotAvail,IF(ISBLANK(D444),"",fnStepCostHourly*$D444*VLOOKUP(BasisYear,ChemPPI[],14,FALSE)/VLOOKUP(2017,ChemPPI[],14,FALSE))),""))</f>
        <v/>
      </c>
      <c r="F444" s="342" t="str">
        <f t="shared" si="24"/>
        <v/>
      </c>
      <c r="G444" s="341" t="str">
        <f t="shared" si="25"/>
        <v/>
      </c>
      <c r="H444" s="248"/>
      <c r="I444" s="247" t="str">
        <f>IFERROR(VLOOKUP($C444,Steps[],5,FALSE),"")</f>
        <v>A.k.a. calciner. Sub with batch kiln at small scale</v>
      </c>
      <c r="J444" s="251"/>
    </row>
    <row r="445" spans="2:10" ht="16" hidden="1" customHeight="1" outlineLevel="1">
      <c r="B445" s="16"/>
      <c r="C445" s="349" t="s">
        <v>948</v>
      </c>
      <c r="D445" s="350">
        <f>1*IF($D$6&lt;5,1,IF($D$6&lt;70,0,0))</f>
        <v>0</v>
      </c>
      <c r="E445" s="342" t="str">
        <f>IF(ISBLANK(C445),"",IFERROR(IF(fnStepCostHourly=0,fnStepNotAvail,IF(ISBLANK(D445),"",fnStepCostHourly*$D445*VLOOKUP(BasisYear,ChemPPI[],14,FALSE)/VLOOKUP(2017,ChemPPI[],14,FALSE))),""))</f>
        <v/>
      </c>
      <c r="F445" s="342" t="str">
        <f t="shared" si="24"/>
        <v/>
      </c>
      <c r="G445" s="341" t="str">
        <f t="shared" si="25"/>
        <v/>
      </c>
      <c r="H445" s="248"/>
      <c r="I445" s="247" t="str">
        <f>IFERROR(VLOOKUP($C445,Steps[],5,FALSE),"")</f>
        <v>A.k.a. calciner. Sub with continuous kiln at M/L scale</v>
      </c>
      <c r="J445" s="251"/>
    </row>
    <row r="446" spans="2:10" ht="16" hidden="1" customHeight="1" outlineLevel="1">
      <c r="B446" s="16"/>
      <c r="C446" s="69" t="s">
        <v>939</v>
      </c>
      <c r="D446" s="246">
        <v>1</v>
      </c>
      <c r="E446" s="342" t="str">
        <f>IF(ISBLANK(C446),"",IFERROR(IF(fnStepCostHourly=0,fnStepNotAvail,IF(ISBLANK(D446),"",fnStepCostHourly*$D446*VLOOKUP(BasisYear,ChemPPI[],14,FALSE)/VLOOKUP(2017,ChemPPI[],14,FALSE))),""))</f>
        <v/>
      </c>
      <c r="F446" s="342" t="str">
        <f t="shared" si="24"/>
        <v/>
      </c>
      <c r="G446" s="341" t="str">
        <f t="shared" si="25"/>
        <v/>
      </c>
      <c r="H446" s="248"/>
      <c r="I446" s="247" t="str">
        <f>IFERROR(VLOOKUP($C446,Steps[],5,FALSE),"")</f>
        <v>-</v>
      </c>
      <c r="J446" s="251"/>
    </row>
    <row r="447" spans="2:10" ht="16" hidden="1" customHeight="1" outlineLevel="1">
      <c r="B447" s="16"/>
      <c r="C447" s="69" t="s">
        <v>929</v>
      </c>
      <c r="D447" s="246">
        <v>1</v>
      </c>
      <c r="E447" s="342" t="str">
        <f>IF(ISBLANK(C447),"",IFERROR(IF(fnStepCostHourly=0,fnStepNotAvail,IF(ISBLANK(D447),"",fnStepCostHourly*$D447*VLOOKUP(BasisYear,ChemPPI[],14,FALSE)/VLOOKUP(2017,ChemPPI[],14,FALSE))),""))</f>
        <v/>
      </c>
      <c r="F447" s="342" t="str">
        <f t="shared" si="24"/>
        <v/>
      </c>
      <c r="G447" s="341" t="str">
        <f t="shared" si="25"/>
        <v/>
      </c>
      <c r="H447" s="248"/>
      <c r="I447" s="247" t="str">
        <f>IFERROR(VLOOKUP($C447,Steps[],5,FALSE),"")</f>
        <v>-</v>
      </c>
      <c r="J447" s="251"/>
    </row>
    <row r="448" spans="2:10" ht="16" hidden="1" customHeight="1" outlineLevel="1">
      <c r="B448" s="16"/>
      <c r="C448" s="69" t="s">
        <v>943</v>
      </c>
      <c r="D448" s="246">
        <v>2</v>
      </c>
      <c r="E448" s="342" t="str">
        <f>IF(ISBLANK(C448),"",IFERROR(IF(fnStepCostHourly=0,fnStepNotAvail,IF(ISBLANK(D448),"",fnStepCostHourly*$D448*VLOOKUP(BasisYear,ChemPPI[],14,FALSE)/VLOOKUP(2017,ChemPPI[],14,FALSE))),""))</f>
        <v/>
      </c>
      <c r="F448" s="342" t="str">
        <f t="shared" si="24"/>
        <v/>
      </c>
      <c r="G448" s="341" t="str">
        <f t="shared" si="25"/>
        <v/>
      </c>
      <c r="H448" s="248"/>
      <c r="I448" s="247" t="str">
        <f>IFERROR(VLOOKUP($C448,Steps[],5,FALSE),"")</f>
        <v>Muller</v>
      </c>
      <c r="J448" s="251"/>
    </row>
    <row r="449" spans="1:10" ht="16" hidden="1" customHeight="1" outlineLevel="1">
      <c r="B449" s="16"/>
      <c r="C449" s="69" t="s">
        <v>1075</v>
      </c>
      <c r="D449" s="246">
        <v>2</v>
      </c>
      <c r="E449" s="342" t="str">
        <f>IF(ISBLANK(C449),"",IFERROR(IF(fnStepCostHourly=0,fnStepNotAvail,IF(ISBLANK(D449),"",fnStepCostHourly*$D449*VLOOKUP(BasisYear,ChemPPI[],14,FALSE)/VLOOKUP(2017,ChemPPI[],14,FALSE))),""))</f>
        <v/>
      </c>
      <c r="F449" s="342" t="str">
        <f t="shared" si="24"/>
        <v/>
      </c>
      <c r="G449" s="341" t="str">
        <f t="shared" si="25"/>
        <v/>
      </c>
      <c r="H449" s="248"/>
      <c r="I449" s="247" t="str">
        <f>IFERROR(VLOOKUP($C449,Steps[],5,FALSE),"")</f>
        <v>For higher temp use kiln</v>
      </c>
      <c r="J449" s="251"/>
    </row>
    <row r="450" spans="1:10" ht="16" hidden="1" customHeight="1" outlineLevel="1">
      <c r="B450" s="16"/>
      <c r="C450" s="69"/>
      <c r="D450" s="246"/>
      <c r="E450" s="342" t="str">
        <f>IF(ISBLANK(C450),"",IFERROR(IF(fnStepCostHourly=0,fnStepNotAvail,IF(ISBLANK(D450),"",fnStepCostHourly*$D450*VLOOKUP(BasisYear,ChemPPI[],14,FALSE)/VLOOKUP(2017,ChemPPI[],14,FALSE))),""))</f>
        <v/>
      </c>
      <c r="F450" s="342" t="str">
        <f t="shared" si="24"/>
        <v/>
      </c>
      <c r="G450" s="341" t="str">
        <f t="shared" si="25"/>
        <v/>
      </c>
      <c r="H450" s="248"/>
      <c r="I450" s="247" t="str">
        <f>IFERROR(VLOOKUP($C450,Steps[],5,FALSE),"")</f>
        <v/>
      </c>
      <c r="J450" s="251"/>
    </row>
    <row r="451" spans="1:10" ht="16" hidden="1" customHeight="1" outlineLevel="1">
      <c r="B451" s="16"/>
      <c r="C451" s="69"/>
      <c r="D451" s="246"/>
      <c r="E451" s="342" t="str">
        <f>IF(ISBLANK(C451),"",IFERROR(IF(fnStepCostHourly=0,fnStepNotAvail,IF(ISBLANK(D451),"",fnStepCostHourly*$D451*VLOOKUP(BasisYear,ChemPPI[],14,FALSE)/VLOOKUP(2017,ChemPPI[],14,FALSE))),""))</f>
        <v/>
      </c>
      <c r="F451" s="342" t="str">
        <f t="shared" si="24"/>
        <v/>
      </c>
      <c r="G451" s="341" t="str">
        <f t="shared" si="25"/>
        <v/>
      </c>
      <c r="H451" s="248"/>
      <c r="I451" s="247" t="str">
        <f>IFERROR(VLOOKUP($C451,Steps[],5,FALSE),"")</f>
        <v/>
      </c>
      <c r="J451" s="251"/>
    </row>
    <row r="452" spans="1:10" ht="16" hidden="1" customHeight="1" outlineLevel="1">
      <c r="B452" s="16"/>
      <c r="C452" s="69"/>
      <c r="D452" s="246"/>
      <c r="E452" s="342" t="str">
        <f>IF(ISBLANK(C452),"",IFERROR(IF(fnStepCostHourly=0,fnStepNotAvail,IF(ISBLANK(D452),"",fnStepCostHourly*$D452*VLOOKUP(BasisYear,ChemPPI[],14,FALSE)/VLOOKUP(2017,ChemPPI[],14,FALSE))),""))</f>
        <v/>
      </c>
      <c r="F452" s="342" t="str">
        <f t="shared" si="24"/>
        <v/>
      </c>
      <c r="G452" s="341" t="str">
        <f t="shared" si="25"/>
        <v/>
      </c>
      <c r="H452" s="248"/>
      <c r="I452" s="247" t="str">
        <f>IFERROR(VLOOKUP($C452,Steps[],5,FALSE),"")</f>
        <v/>
      </c>
      <c r="J452" s="251"/>
    </row>
    <row r="453" spans="1:10" ht="16" hidden="1" customHeight="1" outlineLevel="1">
      <c r="B453" s="16"/>
      <c r="C453" s="69"/>
      <c r="D453" s="246"/>
      <c r="E453" s="342" t="str">
        <f>IF(ISBLANK(C453),"",IFERROR(IF(fnStepCostHourly=0,fnStepNotAvail,IF(ISBLANK(D453),"",fnStepCostHourly*$D453*VLOOKUP(BasisYear,ChemPPI[],14,FALSE)/VLOOKUP(2017,ChemPPI[],14,FALSE))),""))</f>
        <v/>
      </c>
      <c r="F453" s="342" t="str">
        <f t="shared" si="24"/>
        <v/>
      </c>
      <c r="G453" s="341" t="str">
        <f t="shared" si="25"/>
        <v/>
      </c>
      <c r="H453" s="248"/>
      <c r="I453" s="247" t="str">
        <f>IFERROR(VLOOKUP($C453,Steps[],5,FALSE),"")</f>
        <v/>
      </c>
      <c r="J453" s="251"/>
    </row>
    <row r="454" spans="1:10" ht="16" hidden="1" customHeight="1" outlineLevel="1">
      <c r="B454" s="16"/>
      <c r="C454" s="69"/>
      <c r="D454" s="246"/>
      <c r="E454" s="342" t="str">
        <f>IF(ISBLANK(C454),"",IFERROR(IF(fnStepCostHourly=0,fnStepNotAvail,IF(ISBLANK(D454),"",fnStepCostHourly*$D454*VLOOKUP(BasisYear,ChemPPI[],14,FALSE)/VLOOKUP(2017,ChemPPI[],14,FALSE))),""))</f>
        <v/>
      </c>
      <c r="F454" s="342" t="str">
        <f t="shared" si="24"/>
        <v/>
      </c>
      <c r="G454" s="341" t="str">
        <f t="shared" si="25"/>
        <v/>
      </c>
      <c r="H454" s="248"/>
      <c r="I454" s="247" t="str">
        <f>IFERROR(VLOOKUP($C454,Steps[],5,FALSE),"")</f>
        <v/>
      </c>
      <c r="J454" s="251"/>
    </row>
    <row r="455" spans="1:10" ht="16" hidden="1" customHeight="1" outlineLevel="1">
      <c r="B455" s="16"/>
      <c r="C455" s="69"/>
      <c r="D455" s="246"/>
      <c r="E455" s="342" t="str">
        <f>IF(ISBLANK(C455),"",IFERROR(IF(fnStepCostHourly=0,fnStepNotAvail,IF(ISBLANK(D455),"",fnStepCostHourly*$D455*VLOOKUP(BasisYear,ChemPPI[],14,FALSE)/VLOOKUP(2017,ChemPPI[],14,FALSE))),""))</f>
        <v/>
      </c>
      <c r="F455" s="342" t="str">
        <f t="shared" si="24"/>
        <v/>
      </c>
      <c r="G455" s="341" t="str">
        <f t="shared" si="25"/>
        <v/>
      </c>
      <c r="H455" s="248"/>
      <c r="I455" s="247" t="str">
        <f>IFERROR(VLOOKUP($C455,Steps[],5,FALSE),"")</f>
        <v/>
      </c>
      <c r="J455" s="251"/>
    </row>
    <row r="456" spans="1:10" ht="17" hidden="1" outlineLevel="1" thickBot="1">
      <c r="B456" s="252"/>
      <c r="C456" s="253"/>
      <c r="D456" s="253"/>
      <c r="E456" s="253"/>
      <c r="F456" s="253"/>
      <c r="G456" s="253"/>
      <c r="H456" s="253"/>
      <c r="I456" s="253"/>
      <c r="J456" s="254"/>
    </row>
    <row r="457" spans="1:10" collapsed="1">
      <c r="A457" s="314" t="str">
        <f>"&lt;– show/hide "&amp;B425</f>
        <v>&lt;– show/hide Step Process Template: Zeolite ZSM-5 Diluted with Metal Oxide</v>
      </c>
    </row>
  </sheetData>
  <mergeCells count="2">
    <mergeCell ref="C12:D12"/>
    <mergeCell ref="B3:E3"/>
  </mergeCells>
  <conditionalFormatting sqref="C30:D49">
    <cfRule type="containsBlanks" dxfId="199" priority="97">
      <formula>LEN(TRIM(C30))=0</formula>
    </cfRule>
  </conditionalFormatting>
  <conditionalFormatting sqref="C131:D150">
    <cfRule type="containsBlanks" dxfId="198" priority="93">
      <formula>LEN(TRIM(C131))=0</formula>
    </cfRule>
  </conditionalFormatting>
  <conditionalFormatting sqref="C12">
    <cfRule type="containsBlanks" dxfId="197" priority="92">
      <formula>LEN(TRIM(C12))=0</formula>
    </cfRule>
  </conditionalFormatting>
  <conditionalFormatting sqref="C164:D165 C168:D169 C172:D172 C175:D183">
    <cfRule type="containsBlanks" dxfId="196" priority="91">
      <formula>LEN(TRIM(C164))=0</formula>
    </cfRule>
  </conditionalFormatting>
  <conditionalFormatting sqref="C166:D167">
    <cfRule type="containsBlanks" dxfId="195" priority="90">
      <formula>LEN(TRIM(C166))=0</formula>
    </cfRule>
  </conditionalFormatting>
  <conditionalFormatting sqref="C170:D171">
    <cfRule type="containsBlanks" dxfId="194" priority="89">
      <formula>LEN(TRIM(C170))=0</formula>
    </cfRule>
  </conditionalFormatting>
  <conditionalFormatting sqref="C173:D174">
    <cfRule type="containsBlanks" dxfId="193" priority="88">
      <formula>LEN(TRIM(C173))=0</formula>
    </cfRule>
  </conditionalFormatting>
  <conditionalFormatting sqref="C263:D263 C266:D267 C270:D282">
    <cfRule type="containsBlanks" dxfId="192" priority="87">
      <formula>LEN(TRIM(C263))=0</formula>
    </cfRule>
  </conditionalFormatting>
  <conditionalFormatting sqref="C264:D265">
    <cfRule type="containsBlanks" dxfId="191" priority="83">
      <formula>LEN(TRIM(C264))=0</formula>
    </cfRule>
  </conditionalFormatting>
  <conditionalFormatting sqref="C268:D269">
    <cfRule type="containsBlanks" dxfId="190" priority="82">
      <formula>LEN(TRIM(C268))=0</formula>
    </cfRule>
  </conditionalFormatting>
  <conditionalFormatting sqref="C403:D405 C407:D408 C410:D411 C413:D422">
    <cfRule type="containsBlanks" dxfId="189" priority="81">
      <formula>LEN(TRIM(C403))=0</formula>
    </cfRule>
  </conditionalFormatting>
  <conditionalFormatting sqref="C405:D407">
    <cfRule type="containsBlanks" dxfId="188" priority="78">
      <formula>LEN(TRIM(C405))=0</formula>
    </cfRule>
  </conditionalFormatting>
  <conditionalFormatting sqref="C408:D410">
    <cfRule type="containsBlanks" dxfId="187" priority="77">
      <formula>LEN(TRIM(C408))=0</formula>
    </cfRule>
  </conditionalFormatting>
  <conditionalFormatting sqref="C411:D413">
    <cfRule type="containsBlanks" dxfId="186" priority="76">
      <formula>LEN(TRIM(C411))=0</formula>
    </cfRule>
  </conditionalFormatting>
  <conditionalFormatting sqref="C436:D438 C440:D441 C443:D444 C446:D455">
    <cfRule type="containsBlanks" dxfId="185" priority="75">
      <formula>LEN(TRIM(C436))=0</formula>
    </cfRule>
  </conditionalFormatting>
  <conditionalFormatting sqref="C438:D440">
    <cfRule type="containsBlanks" dxfId="184" priority="74">
      <formula>LEN(TRIM(C438))=0</formula>
    </cfRule>
  </conditionalFormatting>
  <conditionalFormatting sqref="C441:D443">
    <cfRule type="containsBlanks" dxfId="183" priority="73">
      <formula>LEN(TRIM(C441))=0</formula>
    </cfRule>
  </conditionalFormatting>
  <conditionalFormatting sqref="C444:D446">
    <cfRule type="containsBlanks" dxfId="182" priority="72">
      <formula>LEN(TRIM(C444))=0</formula>
    </cfRule>
  </conditionalFormatting>
  <conditionalFormatting sqref="C449:D449">
    <cfRule type="containsBlanks" dxfId="181" priority="71">
      <formula>LEN(TRIM(C449))=0</formula>
    </cfRule>
  </conditionalFormatting>
  <conditionalFormatting sqref="C63:D65 C67:D67 C70:D74 C77:D84">
    <cfRule type="containsBlanks" dxfId="180" priority="70">
      <formula>LEN(TRIM(C63))=0</formula>
    </cfRule>
  </conditionalFormatting>
  <conditionalFormatting sqref="C65:D67">
    <cfRule type="containsBlanks" dxfId="179" priority="69">
      <formula>LEN(TRIM(C65))=0</formula>
    </cfRule>
  </conditionalFormatting>
  <conditionalFormatting sqref="C68:D68">
    <cfRule type="containsBlanks" dxfId="178" priority="65">
      <formula>LEN(TRIM(C68))=0</formula>
    </cfRule>
  </conditionalFormatting>
  <conditionalFormatting sqref="C68:D69">
    <cfRule type="containsBlanks" dxfId="177" priority="64">
      <formula>LEN(TRIM(C68))=0</formula>
    </cfRule>
  </conditionalFormatting>
  <conditionalFormatting sqref="C74:D74">
    <cfRule type="containsBlanks" dxfId="176" priority="63">
      <formula>LEN(TRIM(C74))=0</formula>
    </cfRule>
  </conditionalFormatting>
  <conditionalFormatting sqref="C74:D74 C77:D80">
    <cfRule type="containsBlanks" dxfId="175" priority="62">
      <formula>LEN(TRIM(C74))=0</formula>
    </cfRule>
  </conditionalFormatting>
  <conditionalFormatting sqref="C71:D72">
    <cfRule type="containsBlanks" dxfId="174" priority="60">
      <formula>LEN(TRIM(C71))=0</formula>
    </cfRule>
  </conditionalFormatting>
  <conditionalFormatting sqref="C71:D71">
    <cfRule type="containsBlanks" dxfId="173" priority="59">
      <formula>LEN(TRIM(C71))=0</formula>
    </cfRule>
  </conditionalFormatting>
  <conditionalFormatting sqref="C77:D77">
    <cfRule type="containsBlanks" dxfId="172" priority="57">
      <formula>LEN(TRIM(C77))=0</formula>
    </cfRule>
  </conditionalFormatting>
  <conditionalFormatting sqref="C329:D331 C334:D334 C337:D337 C342:D350">
    <cfRule type="containsBlanks" dxfId="171" priority="56">
      <formula>LEN(TRIM(C329))=0</formula>
    </cfRule>
  </conditionalFormatting>
  <conditionalFormatting sqref="C335:D336">
    <cfRule type="containsBlanks" dxfId="170" priority="51">
      <formula>LEN(TRIM(C335))=0</formula>
    </cfRule>
  </conditionalFormatting>
  <conditionalFormatting sqref="C338:D339">
    <cfRule type="containsBlanks" dxfId="169" priority="50">
      <formula>LEN(TRIM(C338))=0</formula>
    </cfRule>
  </conditionalFormatting>
  <conditionalFormatting sqref="C340:D341">
    <cfRule type="containsBlanks" dxfId="168" priority="49">
      <formula>LEN(TRIM(C340))=0</formula>
    </cfRule>
  </conditionalFormatting>
  <conditionalFormatting sqref="C332:D333">
    <cfRule type="containsBlanks" dxfId="167" priority="52">
      <formula>LEN(TRIM(C332))=0</formula>
    </cfRule>
  </conditionalFormatting>
  <conditionalFormatting sqref="C370:D371">
    <cfRule type="containsBlanks" dxfId="166" priority="46">
      <formula>LEN(TRIM(C370))=0</formula>
    </cfRule>
  </conditionalFormatting>
  <conditionalFormatting sqref="C373:D374">
    <cfRule type="containsBlanks" dxfId="165" priority="45">
      <formula>LEN(TRIM(C373))=0</formula>
    </cfRule>
  </conditionalFormatting>
  <conditionalFormatting sqref="C375:D376">
    <cfRule type="containsBlanks" dxfId="164" priority="44">
      <formula>LEN(TRIM(C375))=0</formula>
    </cfRule>
  </conditionalFormatting>
  <conditionalFormatting sqref="C364:D366 C369:D369 C372:D372 C377:D382 C385:D389">
    <cfRule type="containsBlanks" dxfId="163" priority="48">
      <formula>LEN(TRIM(C364))=0</formula>
    </cfRule>
  </conditionalFormatting>
  <conditionalFormatting sqref="C107:D108">
    <cfRule type="containsBlanks" dxfId="162" priority="21">
      <formula>LEN(TRIM(C107))=0</formula>
    </cfRule>
  </conditionalFormatting>
  <conditionalFormatting sqref="C296:D297">
    <cfRule type="containsBlanks" dxfId="161" priority="39">
      <formula>LEN(TRIM(C296))=0</formula>
    </cfRule>
  </conditionalFormatting>
  <conditionalFormatting sqref="C383:D384">
    <cfRule type="containsBlanks" dxfId="160" priority="43">
      <formula>LEN(TRIM(C383))=0</formula>
    </cfRule>
  </conditionalFormatting>
  <conditionalFormatting sqref="C367:D368">
    <cfRule type="containsBlanks" dxfId="159" priority="47">
      <formula>LEN(TRIM(C367))=0</formula>
    </cfRule>
  </conditionalFormatting>
  <conditionalFormatting sqref="C301:D303">
    <cfRule type="containsBlanks" dxfId="158" priority="38">
      <formula>LEN(TRIM(C301))=0</formula>
    </cfRule>
  </conditionalFormatting>
  <conditionalFormatting sqref="C298:D298 C303:D315">
    <cfRule type="containsBlanks" dxfId="157" priority="42">
      <formula>LEN(TRIM(C298))=0</formula>
    </cfRule>
  </conditionalFormatting>
  <conditionalFormatting sqref="C107:D108">
    <cfRule type="containsBlanks" dxfId="156" priority="20">
      <formula>LEN(TRIM(C107))=0</formula>
    </cfRule>
  </conditionalFormatting>
  <conditionalFormatting sqref="C107:D107">
    <cfRule type="containsBlanks" dxfId="155" priority="19">
      <formula>LEN(TRIM(C107))=0</formula>
    </cfRule>
  </conditionalFormatting>
  <conditionalFormatting sqref="C98:D99 C102:D102 C105:D106 C109:D117">
    <cfRule type="containsBlanks" dxfId="154" priority="37">
      <formula>LEN(TRIM(C98))=0</formula>
    </cfRule>
  </conditionalFormatting>
  <conditionalFormatting sqref="C100:D101">
    <cfRule type="containsBlanks" dxfId="153" priority="26">
      <formula>LEN(TRIM(C100))=0</formula>
    </cfRule>
  </conditionalFormatting>
  <conditionalFormatting sqref="C100:D101">
    <cfRule type="containsBlanks" dxfId="152" priority="25">
      <formula>LEN(TRIM(C100))=0</formula>
    </cfRule>
  </conditionalFormatting>
  <conditionalFormatting sqref="C100:D100">
    <cfRule type="containsBlanks" dxfId="151" priority="24">
      <formula>LEN(TRIM(C100))=0</formula>
    </cfRule>
  </conditionalFormatting>
  <conditionalFormatting sqref="C103:D103">
    <cfRule type="containsBlanks" dxfId="150" priority="23">
      <formula>LEN(TRIM(C103))=0</formula>
    </cfRule>
  </conditionalFormatting>
  <conditionalFormatting sqref="C103:D104">
    <cfRule type="containsBlanks" dxfId="149" priority="22">
      <formula>LEN(TRIM(C103))=0</formula>
    </cfRule>
  </conditionalFormatting>
  <conditionalFormatting sqref="C230:D232 C235:D249">
    <cfRule type="containsBlanks" dxfId="148" priority="18">
      <formula>LEN(TRIM(C230))=0</formula>
    </cfRule>
  </conditionalFormatting>
  <conditionalFormatting sqref="C233:D233">
    <cfRule type="containsBlanks" dxfId="147" priority="15">
      <formula>LEN(TRIM(C233))=0</formula>
    </cfRule>
  </conditionalFormatting>
  <conditionalFormatting sqref="C234:D234">
    <cfRule type="containsBlanks" dxfId="146" priority="14">
      <formula>LEN(TRIM(C234))=0</formula>
    </cfRule>
  </conditionalFormatting>
  <conditionalFormatting sqref="C197:D198 C201:D202 C205:D205 C208:D216">
    <cfRule type="containsBlanks" dxfId="145" priority="13">
      <formula>LEN(TRIM(C197))=0</formula>
    </cfRule>
  </conditionalFormatting>
  <conditionalFormatting sqref="C199:D200">
    <cfRule type="containsBlanks" dxfId="144" priority="10">
      <formula>LEN(TRIM(C199))=0</formula>
    </cfRule>
  </conditionalFormatting>
  <conditionalFormatting sqref="C203:D204">
    <cfRule type="containsBlanks" dxfId="143" priority="9">
      <formula>LEN(TRIM(C203))=0</formula>
    </cfRule>
  </conditionalFormatting>
  <conditionalFormatting sqref="C206:D207">
    <cfRule type="containsBlanks" dxfId="142" priority="8">
      <formula>LEN(TRIM(C206))=0</formula>
    </cfRule>
  </conditionalFormatting>
  <conditionalFormatting sqref="C77:D77">
    <cfRule type="containsBlanks" dxfId="141" priority="7">
      <formula>LEN(TRIM(C77))=0</formula>
    </cfRule>
  </conditionalFormatting>
  <conditionalFormatting sqref="C78:D78">
    <cfRule type="containsBlanks" dxfId="140" priority="6">
      <formula>LEN(TRIM(C78))=0</formula>
    </cfRule>
  </conditionalFormatting>
  <conditionalFormatting sqref="C75:D75">
    <cfRule type="containsBlanks" dxfId="139" priority="5">
      <formula>LEN(TRIM(C75))=0</formula>
    </cfRule>
  </conditionalFormatting>
  <conditionalFormatting sqref="C75:D76">
    <cfRule type="containsBlanks" dxfId="138" priority="4">
      <formula>LEN(TRIM(C75))=0</formula>
    </cfRule>
  </conditionalFormatting>
  <conditionalFormatting sqref="C301:D301">
    <cfRule type="containsBlanks" dxfId="137" priority="3">
      <formula>LEN(TRIM(C301))=0</formula>
    </cfRule>
  </conditionalFormatting>
  <conditionalFormatting sqref="C299:D299">
    <cfRule type="containsBlanks" dxfId="136" priority="2">
      <formula>LEN(TRIM(C299))=0</formula>
    </cfRule>
  </conditionalFormatting>
  <conditionalFormatting sqref="C299:D300">
    <cfRule type="containsBlanks" dxfId="135" priority="1">
      <formula>LEN(TRIM(C299))=0</formula>
    </cfRule>
  </conditionalFormatting>
  <dataValidations count="2">
    <dataValidation type="list" allowBlank="1" showInputMessage="1" showErrorMessage="1" sqref="C197:C216 C131:C150 C164:C183 C263:C282 C403:C422 C436:C455 C296:C315 C98:C117 C329:C350 C63:C84 C364:C389 C230:C249 C30:C49" xr:uid="{E8003CAC-B597-1448-AB17-C23EE08AB7E2}">
      <formula1>StepNames</formula1>
    </dataValidation>
    <dataValidation type="list" allowBlank="1" showInputMessage="1" showErrorMessage="1" sqref="C12" xr:uid="{550A85E3-5E48-EB44-B161-89C6D925985F}">
      <formula1>fnStepTemplates</formula1>
    </dataValidation>
  </dataValidations>
  <pageMargins left="0.7" right="0.7" top="0.75" bottom="0.75" header="0.3" footer="0.3"/>
  <ignoredErrors>
    <ignoredError sqref="A1:XFD11 A13:XFD29 A12:B12 E12:XFD12 A35:XFD1048576 A30:B34 E30:XFD34" emptyCellReference="1"/>
  </ignoredError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AC286"/>
  <sheetViews>
    <sheetView workbookViewId="0">
      <pane ySplit="1" topLeftCell="A236" activePane="bottomLeft" state="frozenSplit"/>
      <selection pane="bottomLeft" activeCell="G239" sqref="G239"/>
    </sheetView>
  </sheetViews>
  <sheetFormatPr baseColWidth="10" defaultColWidth="11" defaultRowHeight="16" outlineLevelRow="1"/>
  <cols>
    <col min="1" max="2" width="2.5" style="11" customWidth="1"/>
    <col min="3" max="3" width="50.5" style="11" bestFit="1" customWidth="1"/>
    <col min="4" max="4" width="12.6640625" style="11" customWidth="1"/>
    <col min="5" max="5" width="21.1640625" style="11" bestFit="1" customWidth="1"/>
    <col min="6" max="6" width="8.33203125" style="11" bestFit="1" customWidth="1"/>
    <col min="7" max="7" width="9.6640625" style="11" bestFit="1" customWidth="1"/>
    <col min="8" max="8" width="40.83203125" style="11" customWidth="1"/>
    <col min="9" max="9" width="16.5" style="11" bestFit="1" customWidth="1"/>
    <col min="10" max="10" width="2.5" style="11" customWidth="1"/>
    <col min="11" max="11" width="21" style="11" customWidth="1"/>
    <col min="12" max="12" width="20.83203125" style="11" customWidth="1"/>
    <col min="13" max="13" width="2.5" style="11" customWidth="1"/>
    <col min="14" max="14" width="15.6640625" style="11" customWidth="1"/>
    <col min="15" max="15" width="15.1640625" style="11" customWidth="1"/>
    <col min="16" max="16" width="12.1640625" style="11" customWidth="1"/>
    <col min="17" max="18" width="2.5" style="11" customWidth="1"/>
    <col min="19" max="19" width="50.83203125" style="11" customWidth="1"/>
    <col min="20" max="20" width="23.83203125" style="11" customWidth="1"/>
    <col min="21" max="16384" width="11" style="11"/>
  </cols>
  <sheetData>
    <row r="1" spans="2:29" s="10" customFormat="1" ht="24" customHeight="1">
      <c r="B1" s="108" t="str">
        <f>"CatCost v"&amp;Version&amp;": "&amp;EstimateName</f>
        <v>CatCost v1.0.0: FCC RE USY</v>
      </c>
      <c r="G1" s="109"/>
      <c r="H1" s="110"/>
      <c r="I1" s="110"/>
      <c r="J1" s="110"/>
      <c r="K1" s="110"/>
      <c r="L1" s="110"/>
      <c r="M1" s="110"/>
      <c r="N1" s="110"/>
      <c r="O1" s="110"/>
      <c r="P1" s="110"/>
      <c r="Q1" s="109"/>
      <c r="R1" s="110"/>
      <c r="X1" s="10" t="s">
        <v>1089</v>
      </c>
      <c r="AA1" s="10" t="str">
        <f t="array" ref="AA1:AA33" ca="1">IF(ROW()&gt;COUNTIF($C$1:$C$9962,"CapEx &amp; OpEx Factors Template Name"),"",OFFSET($C$1,SMALL(IF($C$1:$C$9962="CapEx &amp; OpEx Factors Template Name",ROW($C$1:$C$9962)),ROW()),0))</f>
        <v>Custom Process</v>
      </c>
      <c r="AC1" s="279"/>
    </row>
    <row r="2" spans="2:29" ht="17" thickBot="1">
      <c r="AA2" s="11" t="str">
        <f ca="1"/>
        <v>Metal Carbide on Metal Oxide</v>
      </c>
    </row>
    <row r="3" spans="2:29" ht="21" thickBot="1">
      <c r="B3" s="417" t="s">
        <v>1056</v>
      </c>
      <c r="C3" s="418"/>
      <c r="D3" s="418"/>
      <c r="E3" s="419"/>
      <c r="AA3" s="11" t="str">
        <f ca="1"/>
        <v>Nanoparticles - Flow Synthesis</v>
      </c>
    </row>
    <row r="4" spans="2:29">
      <c r="B4" s="13"/>
      <c r="C4" s="14"/>
      <c r="D4" s="14"/>
      <c r="E4" s="15"/>
      <c r="AA4" s="11" t="str">
        <f ca="1"/>
        <v>Wet Impregnation - Metal on Metal Oxide</v>
      </c>
    </row>
    <row r="5" spans="2:29">
      <c r="B5" s="16"/>
      <c r="C5" s="17" t="s">
        <v>1006</v>
      </c>
      <c r="D5" s="18"/>
      <c r="E5" s="19"/>
      <c r="AA5" s="11" t="str">
        <f ca="1"/>
        <v>Zeolite for FCC</v>
      </c>
    </row>
    <row r="6" spans="2:29">
      <c r="B6" s="16"/>
      <c r="C6" s="312" t="s">
        <v>1001</v>
      </c>
      <c r="D6" s="18"/>
      <c r="E6" s="19"/>
      <c r="AA6" s="11" t="str">
        <f ca="1"/>
        <v/>
      </c>
    </row>
    <row r="7" spans="2:29">
      <c r="B7" s="16"/>
      <c r="C7" s="18"/>
      <c r="D7" s="18"/>
      <c r="E7" s="19"/>
      <c r="AA7" s="11" t="str">
        <f ca="1"/>
        <v/>
      </c>
    </row>
    <row r="8" spans="2:29">
      <c r="B8" s="16"/>
      <c r="C8" s="17" t="s">
        <v>1003</v>
      </c>
      <c r="D8" s="18"/>
      <c r="E8" s="19"/>
      <c r="AA8" s="11" t="str">
        <f ca="1"/>
        <v/>
      </c>
    </row>
    <row r="9" spans="2:29">
      <c r="B9" s="16"/>
      <c r="C9" s="18"/>
      <c r="D9" s="163" t="s">
        <v>310</v>
      </c>
      <c r="E9" s="309">
        <f ca="1">IF($C$6="","&lt; Select Template &gt;",OFFSET(INDEX(C:C,MATCH("Equipment Cost Totals for "&amp;$C$6,C:C,0)),1,2))</f>
        <v>27053488.518370878</v>
      </c>
      <c r="AA9" s="11" t="str">
        <f ca="1"/>
        <v/>
      </c>
    </row>
    <row r="10" spans="2:29">
      <c r="B10" s="16"/>
      <c r="C10" s="18"/>
      <c r="D10" s="163" t="s">
        <v>358</v>
      </c>
      <c r="E10" s="309">
        <f ca="1">IF($C$6="","&lt; Select Template &gt;",OFFSET(INDEX(C:C,MATCH("Equipment Cost Totals for "&amp;$C$6,C:C,0)),2,2))</f>
        <v>43874490.081776053</v>
      </c>
      <c r="AA10" s="11" t="str">
        <f ca="1"/>
        <v/>
      </c>
    </row>
    <row r="11" spans="2:29">
      <c r="B11" s="16"/>
      <c r="C11" s="18"/>
      <c r="D11" s="163" t="s">
        <v>1004</v>
      </c>
      <c r="E11" s="310">
        <f ca="1">IF($C$6="","&lt; Select Template &gt;",OFFSET(INDEX(C:C,MATCH("Equipment Cost Totals for "&amp;$C$6,C:C,0)),3,2))</f>
        <v>17.14</v>
      </c>
      <c r="AA11" s="11" t="str">
        <f ca="1"/>
        <v/>
      </c>
    </row>
    <row r="12" spans="2:29" ht="17" thickBot="1">
      <c r="B12" s="21"/>
      <c r="C12" s="22"/>
      <c r="D12" s="22"/>
      <c r="E12" s="23"/>
      <c r="AA12" s="11" t="str">
        <f ca="1"/>
        <v/>
      </c>
    </row>
    <row r="13" spans="2:29">
      <c r="AA13" s="11" t="str">
        <f ca="1"/>
        <v/>
      </c>
    </row>
    <row r="14" spans="2:29" ht="21" thickBot="1">
      <c r="B14" s="432" t="s">
        <v>1057</v>
      </c>
      <c r="C14" s="432"/>
      <c r="D14" s="432"/>
      <c r="E14" s="432"/>
      <c r="F14" s="432"/>
      <c r="G14" s="432"/>
      <c r="AA14" s="11" t="str">
        <f ca="1"/>
        <v/>
      </c>
    </row>
    <row r="15" spans="2:29">
      <c r="B15" s="315" t="s">
        <v>1022</v>
      </c>
      <c r="AA15" s="11" t="str">
        <f ca="1"/>
        <v/>
      </c>
    </row>
    <row r="16" spans="2:29" ht="17" thickBot="1">
      <c r="AA16" s="11" t="str">
        <f ca="1"/>
        <v/>
      </c>
    </row>
    <row r="17" spans="2:27" ht="21" thickBot="1">
      <c r="B17" s="355" t="str">
        <f>"User Entry: "&amp;C20</f>
        <v>User Entry: Custom Process</v>
      </c>
      <c r="C17" s="356"/>
      <c r="D17" s="356"/>
      <c r="E17" s="356"/>
      <c r="F17" s="356"/>
      <c r="G17" s="357"/>
      <c r="I17" s="201"/>
      <c r="AA17" s="11" t="str">
        <f ca="1"/>
        <v/>
      </c>
    </row>
    <row r="18" spans="2:27" hidden="1" outlineLevel="1">
      <c r="B18" s="13"/>
      <c r="C18" s="14"/>
      <c r="D18" s="14"/>
      <c r="E18" s="14"/>
      <c r="F18" s="14"/>
      <c r="G18" s="15"/>
      <c r="I18" s="201"/>
      <c r="AA18" s="11" t="str">
        <f ca="1"/>
        <v/>
      </c>
    </row>
    <row r="19" spans="2:27" hidden="1" outlineLevel="1">
      <c r="B19" s="16"/>
      <c r="C19" s="17" t="s">
        <v>1058</v>
      </c>
      <c r="D19" s="18"/>
      <c r="E19" s="18"/>
      <c r="F19" s="18"/>
      <c r="G19" s="19"/>
      <c r="I19" s="201"/>
      <c r="AA19" s="11" t="str">
        <f ca="1"/>
        <v/>
      </c>
    </row>
    <row r="20" spans="2:27" hidden="1" outlineLevel="1">
      <c r="B20" s="16"/>
      <c r="C20" s="18" t="s">
        <v>1005</v>
      </c>
      <c r="D20" s="18"/>
      <c r="E20" s="18"/>
      <c r="F20" s="18"/>
      <c r="G20" s="19"/>
      <c r="I20" s="201"/>
      <c r="AA20" s="11" t="str">
        <f ca="1"/>
        <v/>
      </c>
    </row>
    <row r="21" spans="2:27" ht="17" hidden="1" outlineLevel="1" thickBot="1">
      <c r="B21" s="16"/>
      <c r="C21" s="18"/>
      <c r="D21" s="18"/>
      <c r="E21" s="18"/>
      <c r="F21" s="18"/>
      <c r="G21" s="19"/>
      <c r="I21" s="201"/>
      <c r="AA21" s="11" t="str">
        <f ca="1"/>
        <v/>
      </c>
    </row>
    <row r="22" spans="2:27" ht="32" hidden="1" customHeight="1" outlineLevel="1">
      <c r="B22" s="429" t="str">
        <f>"Scaling Inputs: "&amp;C20</f>
        <v>Scaling Inputs: Custom Process</v>
      </c>
      <c r="C22" s="430"/>
      <c r="D22" s="430"/>
      <c r="E22" s="430"/>
      <c r="F22" s="430"/>
      <c r="G22" s="431"/>
      <c r="I22" s="201"/>
      <c r="AA22" s="11" t="str">
        <f ca="1"/>
        <v/>
      </c>
    </row>
    <row r="23" spans="2:27" hidden="1" outlineLevel="1">
      <c r="B23" s="16"/>
      <c r="C23" s="17" t="s">
        <v>1754</v>
      </c>
      <c r="D23" s="18"/>
      <c r="E23" s="18"/>
      <c r="F23" s="18"/>
      <c r="G23" s="19"/>
      <c r="I23" s="201"/>
      <c r="AA23" s="11" t="str">
        <f ca="1"/>
        <v/>
      </c>
    </row>
    <row r="24" spans="2:27" hidden="1" outlineLevel="1">
      <c r="B24" s="16"/>
      <c r="C24" s="138" t="s">
        <v>1755</v>
      </c>
      <c r="D24" s="177"/>
      <c r="E24" s="48" t="str">
        <f>IF(COUNTBLANK(D25:D27)&gt;0,"select units below",D25&amp;" "&amp;D26&amp;"/"&amp;D27)</f>
        <v>select units below</v>
      </c>
      <c r="F24" s="42" t="s">
        <v>162</v>
      </c>
      <c r="G24" s="19"/>
      <c r="I24" s="201"/>
      <c r="AA24" s="11" t="str">
        <f ca="1"/>
        <v/>
      </c>
    </row>
    <row r="25" spans="2:27" hidden="1" outlineLevel="1">
      <c r="B25" s="16"/>
      <c r="C25" s="138"/>
      <c r="D25" s="177"/>
      <c r="E25" s="48" t="s">
        <v>919</v>
      </c>
      <c r="F25" s="48"/>
      <c r="G25" s="19"/>
      <c r="I25" s="201"/>
      <c r="AA25" s="11" t="str">
        <f ca="1"/>
        <v/>
      </c>
    </row>
    <row r="26" spans="2:27" hidden="1" outlineLevel="1">
      <c r="B26" s="16"/>
      <c r="C26" s="138"/>
      <c r="D26" s="177"/>
      <c r="E26" s="48" t="s">
        <v>921</v>
      </c>
      <c r="F26" s="42" t="s">
        <v>162</v>
      </c>
      <c r="G26" s="19"/>
      <c r="I26" s="201"/>
      <c r="AA26" s="11" t="str">
        <f ca="1"/>
        <v/>
      </c>
    </row>
    <row r="27" spans="2:27" hidden="1" outlineLevel="1">
      <c r="B27" s="16"/>
      <c r="C27" s="138"/>
      <c r="D27" s="177"/>
      <c r="E27" s="48" t="s">
        <v>920</v>
      </c>
      <c r="F27" s="42" t="s">
        <v>162</v>
      </c>
      <c r="G27" s="19"/>
      <c r="I27" s="201"/>
      <c r="AA27" s="11" t="str">
        <f ca="1"/>
        <v/>
      </c>
    </row>
    <row r="28" spans="2:27" hidden="1" outlineLevel="1">
      <c r="B28" s="16"/>
      <c r="C28" s="138" t="s">
        <v>1756</v>
      </c>
      <c r="D28" s="49" t="str">
        <f>IFERROR(D24*VLOOKUP(D25,UnitConv[],5,FALSE)/VLOOKUP(OutMassUnit,UnitConv[],5,FALSE)*IF(D26="active phase",100/APWeightPercent,1)/CHOOSE(MATCH(D27,{"hour","day","week","month","year"},0),1,24,24*7,7884/12,7884),"-----")</f>
        <v>-----</v>
      </c>
      <c r="E28" s="48" t="str">
        <f>OutMassUnit&amp;" catalyst/hour"</f>
        <v>lb catalyst/hour</v>
      </c>
      <c r="F28" s="48"/>
      <c r="G28" s="19"/>
      <c r="I28" s="201"/>
      <c r="AA28" s="11" t="str">
        <f ca="1"/>
        <v/>
      </c>
    </row>
    <row r="29" spans="2:27" hidden="1" outlineLevel="1">
      <c r="B29" s="16"/>
      <c r="C29" s="135"/>
      <c r="D29" s="99"/>
      <c r="E29" s="48"/>
      <c r="F29" s="48"/>
      <c r="G29" s="19"/>
      <c r="I29" s="201"/>
      <c r="AA29" s="11" t="str">
        <f ca="1"/>
        <v/>
      </c>
    </row>
    <row r="30" spans="2:27" hidden="1" outlineLevel="1">
      <c r="B30" s="16"/>
      <c r="C30" s="17" t="s">
        <v>1731</v>
      </c>
      <c r="D30" s="18"/>
      <c r="E30" s="18"/>
      <c r="F30" s="18"/>
      <c r="G30" s="19"/>
      <c r="I30" s="201"/>
      <c r="AA30" s="11" t="str">
        <f ca="1"/>
        <v/>
      </c>
    </row>
    <row r="31" spans="2:27" hidden="1" outlineLevel="1">
      <c r="B31" s="16"/>
      <c r="C31" s="138" t="s">
        <v>1753</v>
      </c>
      <c r="D31" s="49">
        <f>IF(DesignProductionRate=0,"-----",DesignProductionRate)</f>
        <v>12683.916793505834</v>
      </c>
      <c r="E31" s="48" t="str">
        <f>OutMassUnit&amp;" catalyst/hour"</f>
        <v>lb catalyst/hour</v>
      </c>
      <c r="F31" s="42" t="s">
        <v>162</v>
      </c>
      <c r="G31" s="19"/>
      <c r="I31" s="201"/>
      <c r="AA31" s="11" t="str">
        <f ca="1"/>
        <v/>
      </c>
    </row>
    <row r="32" spans="2:27" ht="17" hidden="1" outlineLevel="1" thickBot="1">
      <c r="B32" s="16"/>
      <c r="C32" s="18"/>
      <c r="D32" s="305"/>
      <c r="E32" s="18"/>
      <c r="F32" s="18"/>
      <c r="G32" s="19"/>
      <c r="AA32" s="11" t="str">
        <f ca="1"/>
        <v/>
      </c>
    </row>
    <row r="33" spans="2:27" s="308" customFormat="1" ht="32" hidden="1" customHeight="1" outlineLevel="1">
      <c r="B33" s="429" t="str">
        <f>"Equipment List: "&amp;C20</f>
        <v>Equipment List: Custom Process</v>
      </c>
      <c r="C33" s="430"/>
      <c r="D33" s="430"/>
      <c r="E33" s="430"/>
      <c r="F33" s="430"/>
      <c r="G33" s="430"/>
      <c r="H33" s="306"/>
      <c r="I33" s="306"/>
      <c r="J33" s="306"/>
      <c r="K33" s="306"/>
      <c r="L33" s="306"/>
      <c r="M33" s="306"/>
      <c r="N33" s="306"/>
      <c r="O33" s="306"/>
      <c r="P33" s="306"/>
      <c r="Q33" s="307"/>
      <c r="AA33" s="308" t="str">
        <f ca="1"/>
        <v/>
      </c>
    </row>
    <row r="34" spans="2:27" ht="19" hidden="1" outlineLevel="1">
      <c r="B34" s="16"/>
      <c r="C34" s="427" t="s">
        <v>439</v>
      </c>
      <c r="D34" s="427"/>
      <c r="E34" s="427"/>
      <c r="F34" s="427"/>
      <c r="G34" s="427"/>
      <c r="H34" s="427"/>
      <c r="I34" s="427"/>
      <c r="J34" s="73"/>
      <c r="K34" s="427" t="s">
        <v>321</v>
      </c>
      <c r="L34" s="427"/>
      <c r="M34" s="73"/>
      <c r="N34" s="427" t="s">
        <v>322</v>
      </c>
      <c r="O34" s="427"/>
      <c r="P34" s="427"/>
      <c r="Q34" s="19"/>
      <c r="S34" s="428" t="s">
        <v>1007</v>
      </c>
      <c r="T34" s="428"/>
      <c r="U34" s="308"/>
    </row>
    <row r="35" spans="2:27" hidden="1" outlineLevel="1">
      <c r="B35" s="16"/>
      <c r="C35" s="64" t="s">
        <v>306</v>
      </c>
      <c r="D35" s="64" t="s">
        <v>312</v>
      </c>
      <c r="E35" s="64" t="s">
        <v>313</v>
      </c>
      <c r="F35" s="64" t="s">
        <v>309</v>
      </c>
      <c r="G35" s="64" t="s">
        <v>314</v>
      </c>
      <c r="H35" s="64" t="s">
        <v>307</v>
      </c>
      <c r="I35" s="64" t="s">
        <v>308</v>
      </c>
      <c r="J35" s="64"/>
      <c r="K35" s="64" t="s">
        <v>1083</v>
      </c>
      <c r="L35" s="64" t="s">
        <v>1084</v>
      </c>
      <c r="M35" s="64"/>
      <c r="N35" s="64" t="s">
        <v>310</v>
      </c>
      <c r="O35" s="64" t="s">
        <v>358</v>
      </c>
      <c r="P35" s="64" t="s">
        <v>311</v>
      </c>
      <c r="Q35" s="19"/>
      <c r="S35" s="311" t="s">
        <v>306</v>
      </c>
      <c r="T35" s="311" t="s">
        <v>207</v>
      </c>
      <c r="U35" s="308"/>
    </row>
    <row r="36" spans="2:27" hidden="1" outlineLevel="1">
      <c r="B36" s="16"/>
      <c r="C36" s="69"/>
      <c r="D36" s="70"/>
      <c r="E36" s="70" t="str">
        <f ca="1">IFERROR(VLOOKUP(C36,fnEquipLibRange,16,FALSE),"")</f>
        <v/>
      </c>
      <c r="F36" s="70"/>
      <c r="G36" s="131"/>
      <c r="H36" s="107" t="str">
        <f ca="1">IFERROR(VLOOKUP(C36,fnEquipLibRange,2,FALSE),"")</f>
        <v/>
      </c>
      <c r="I36" s="101" t="str">
        <f>IF(ISBLANK(G36),"",IF(G36&lt;VLOOKUP(C36,fnEquipLibRange,3,FALSE),"&gt;&gt;&gt; Too Small &lt;&lt;&lt;",IF(G36&gt;VLOOKUP(C36,fnEquipLibRange,4,FALSE),"&gt;&gt;&gt; Too Large &lt;&lt;&lt;","Yes")))</f>
        <v/>
      </c>
      <c r="J36" s="101"/>
      <c r="K36" s="102" t="str">
        <f>IF(F36*G36=0,"",IFERROR(IF(F36*G36*$D$31/$D$28&lt;VLOOKUP(C36,fnEquipLibRange,3,FALSE),MAX(1,F36),MAX(ROUNDUP(F36*G36*$D$31/$D$28/VLOOKUP(C36,fnEquipLibRange,4,FALSE),0),F36)),""))</f>
        <v/>
      </c>
      <c r="L36" s="103" t="str">
        <f>IF(F36*G36=0,"",IFERROR(IF(F36*G36*$D$31/$D$28&lt;VLOOKUP(C36,fnEquipLibRange,3,FALSE),VLOOKUP(C36,fnEquipLibRange,3,FALSE),F36*G36*$D$31/$D$28/MAX(ROUNDUP(F36*G36*$D$31/$D$28/VLOOKUP(C36,fnEquipLibRange,4,FALSE),0),F36)),""))</f>
        <v/>
      </c>
      <c r="M36" s="103"/>
      <c r="N36" s="104" t="str">
        <f>IF($K36="","",IFERROR($K36*fnEquipCostCorr*fnEquipCostIndex*fnEquipConstMaterial,""))</f>
        <v/>
      </c>
      <c r="O36" s="105" t="str">
        <f ca="1">IFERROR(fnEquipInstFactor*N36,"")</f>
        <v/>
      </c>
      <c r="P36" s="106" t="str">
        <f ca="1">IFERROR(fnEquipLaborFactor*K36,"")</f>
        <v/>
      </c>
      <c r="Q36" s="19"/>
      <c r="S36" s="95" t="str">
        <f>IF(ISBLANK(C36),"",C36)</f>
        <v/>
      </c>
      <c r="T36" s="11" t="str">
        <f ca="1">IFERROR(IF(INDEX(fnEquipLibRange,fnEquipRowNum,39)="","",INDEX(fnEquipLibRange,fnEquipRowNum,39)),"")</f>
        <v/>
      </c>
      <c r="U36" s="308"/>
    </row>
    <row r="37" spans="2:27" hidden="1" outlineLevel="1">
      <c r="B37" s="16"/>
      <c r="C37" s="69"/>
      <c r="D37" s="70"/>
      <c r="E37" s="70" t="str">
        <f ca="1">IFERROR(VLOOKUP(C37,fnEquipLibRange,16,FALSE),"")</f>
        <v/>
      </c>
      <c r="F37" s="70"/>
      <c r="G37" s="131"/>
      <c r="H37" s="107" t="str">
        <f ca="1">IFERROR(VLOOKUP(C37,fnEquipLibRange,2,FALSE),"")</f>
        <v/>
      </c>
      <c r="I37" s="101" t="str">
        <f>IF(ISBLANK(G37),"",IF(G37&lt;VLOOKUP(C37,fnEquipLibRange,3,FALSE),"&gt;&gt;&gt; Too Small &lt;&lt;&lt;",IF(G37&gt;VLOOKUP(C37,fnEquipLibRange,4,FALSE),"&gt;&gt;&gt; Too Large &lt;&lt;&lt;","Yes")))</f>
        <v/>
      </c>
      <c r="J37" s="101"/>
      <c r="K37" s="102" t="str">
        <f>IF(F37*G37=0,"",IFERROR(IF(F37*G37*$D$31/$D$28&lt;VLOOKUP(C37,fnEquipLibRange,3,FALSE),MAX(1,F37),MAX(ROUNDUP(F37*G37*$D$31/$D$28/VLOOKUP(C37,fnEquipLibRange,4,FALSE),0),F37)),""))</f>
        <v/>
      </c>
      <c r="L37" s="103" t="str">
        <f>IF(F37*G37=0,"",IFERROR(IF(F37*G37*$D$31/$D$28&lt;VLOOKUP(C37,fnEquipLibRange,3,FALSE),VLOOKUP(C37,fnEquipLibRange,3,FALSE),F37*G37*$D$31/$D$28/MAX(ROUNDUP(F37*G37*$D$31/$D$28/VLOOKUP(C37,fnEquipLibRange,4,FALSE),0),F37)),""))</f>
        <v/>
      </c>
      <c r="M37" s="103"/>
      <c r="N37" s="104" t="str">
        <f>IF($K37="","",IFERROR($K37*fnEquipCostCorr*fnEquipCostIndex*fnEquipConstMaterial,""))</f>
        <v/>
      </c>
      <c r="O37" s="105" t="str">
        <f ca="1">IFERROR(fnEquipInstFactor*N37,"")</f>
        <v/>
      </c>
      <c r="P37" s="106" t="str">
        <f ca="1">IFERROR(fnEquipLaborFactor*K37,"")</f>
        <v/>
      </c>
      <c r="Q37" s="19"/>
      <c r="S37" s="95" t="str">
        <f t="shared" ref="S37:S75" si="0">IF(ISBLANK(C37),"",C37)</f>
        <v/>
      </c>
      <c r="T37" s="11" t="str">
        <f ca="1">IFERROR(IF(INDEX(fnEquipLibRange,fnEquipRowNum,39)="","",INDEX(fnEquipLibRange,fnEquipRowNum,39)),"")</f>
        <v/>
      </c>
    </row>
    <row r="38" spans="2:27" hidden="1" outlineLevel="1">
      <c r="B38" s="16"/>
      <c r="C38" s="69"/>
      <c r="D38" s="70"/>
      <c r="E38" s="70" t="str">
        <f ca="1">IFERROR(VLOOKUP(C38,fnEquipLibRange,16,FALSE),"")</f>
        <v/>
      </c>
      <c r="F38" s="70"/>
      <c r="G38" s="131"/>
      <c r="H38" s="107" t="str">
        <f ca="1">IFERROR(VLOOKUP(C38,fnEquipLibRange,2,FALSE),"")</f>
        <v/>
      </c>
      <c r="I38" s="101" t="str">
        <f>IF(ISBLANK(G38),"",IF(G38&lt;VLOOKUP(C38,fnEquipLibRange,3,FALSE),"&gt;&gt;&gt; Too Small &lt;&lt;&lt;",IF(G38&gt;VLOOKUP(C38,fnEquipLibRange,4,FALSE),"&gt;&gt;&gt; Too Large &lt;&lt;&lt;","Yes")))</f>
        <v/>
      </c>
      <c r="J38" s="101"/>
      <c r="K38" s="102" t="str">
        <f>IF(F38*G38=0,"",IFERROR(IF(F38*G38*$D$31/$D$28&lt;VLOOKUP(C38,fnEquipLibRange,3,FALSE),MAX(1,F38),MAX(ROUNDUP(F38*G38*$D$31/$D$28/VLOOKUP(C38,fnEquipLibRange,4,FALSE),0),F38)),""))</f>
        <v/>
      </c>
      <c r="L38" s="103" t="str">
        <f>IF(F38*G38=0,"",IFERROR(IF(F38*G38*$D$31/$D$28&lt;VLOOKUP(C38,fnEquipLibRange,3,FALSE),VLOOKUP(C38,fnEquipLibRange,3,FALSE),F38*G38*$D$31/$D$28/MAX(ROUNDUP(F38*G38*$D$31/$D$28/VLOOKUP(C38,fnEquipLibRange,4,FALSE),0),F38)),""))</f>
        <v/>
      </c>
      <c r="M38" s="103"/>
      <c r="N38" s="104" t="str">
        <f>IF($K38="","",IFERROR($K38*fnEquipCostCorr*fnEquipCostIndex*fnEquipConstMaterial,""))</f>
        <v/>
      </c>
      <c r="O38" s="105" t="str">
        <f ca="1">IFERROR(fnEquipInstFactor*N38,"")</f>
        <v/>
      </c>
      <c r="P38" s="106" t="str">
        <f ca="1">IFERROR(fnEquipLaborFactor*K38,"")</f>
        <v/>
      </c>
      <c r="Q38" s="19"/>
      <c r="S38" s="95" t="str">
        <f t="shared" si="0"/>
        <v/>
      </c>
      <c r="T38" s="11" t="str">
        <f ca="1">IFERROR(IF(INDEX(fnEquipLibRange,fnEquipRowNum,39)="","",INDEX(fnEquipLibRange,fnEquipRowNum,39)),"")</f>
        <v/>
      </c>
    </row>
    <row r="39" spans="2:27" hidden="1" outlineLevel="1">
      <c r="B39" s="16"/>
      <c r="C39" s="69"/>
      <c r="D39" s="70"/>
      <c r="E39" s="70" t="str">
        <f ca="1">IFERROR(VLOOKUP(C39,fnEquipLibRange,16,FALSE),"")</f>
        <v/>
      </c>
      <c r="F39" s="70"/>
      <c r="G39" s="131"/>
      <c r="H39" s="107" t="str">
        <f ca="1">IFERROR(VLOOKUP(C39,fnEquipLibRange,2,FALSE),"")</f>
        <v/>
      </c>
      <c r="I39" s="101" t="str">
        <f>IF(ISBLANK(G39),"",IF(G39&lt;VLOOKUP(C39,fnEquipLibRange,3,FALSE),"&gt;&gt;&gt; Too Small &lt;&lt;&lt;",IF(G39&gt;VLOOKUP(C39,fnEquipLibRange,4,FALSE),"&gt;&gt;&gt; Too Large &lt;&lt;&lt;","Yes")))</f>
        <v/>
      </c>
      <c r="J39" s="101"/>
      <c r="K39" s="102" t="str">
        <f>IF(F39*G39=0,"",IFERROR(IF(F39*G39*$D$31/$D$28&lt;VLOOKUP(C39,fnEquipLibRange,3,FALSE),MAX(1,F39),MAX(ROUNDUP(F39*G39*$D$31/$D$28/VLOOKUP(C39,fnEquipLibRange,4,FALSE),0),F39)),""))</f>
        <v/>
      </c>
      <c r="L39" s="103" t="str">
        <f>IF(F39*G39=0,"",IFERROR(IF(F39*G39*$D$31/$D$28&lt;VLOOKUP(C39,fnEquipLibRange,3,FALSE),VLOOKUP(C39,fnEquipLibRange,3,FALSE),F39*G39*$D$31/$D$28/MAX(ROUNDUP(F39*G39*$D$31/$D$28/VLOOKUP(C39,fnEquipLibRange,4,FALSE),0),F39)),""))</f>
        <v/>
      </c>
      <c r="M39" s="103"/>
      <c r="N39" s="104" t="str">
        <f>IF($K39="","",IFERROR($K39*fnEquipCostCorr*fnEquipCostIndex*fnEquipConstMaterial,""))</f>
        <v/>
      </c>
      <c r="O39" s="105" t="str">
        <f ca="1">IFERROR(fnEquipInstFactor*N39,"")</f>
        <v/>
      </c>
      <c r="P39" s="106" t="str">
        <f ca="1">IFERROR(fnEquipLaborFactor*K39,"")</f>
        <v/>
      </c>
      <c r="Q39" s="19"/>
      <c r="S39" s="95" t="str">
        <f t="shared" si="0"/>
        <v/>
      </c>
      <c r="T39" s="11" t="str">
        <f ca="1">IFERROR(IF(INDEX(fnEquipLibRange,fnEquipRowNum,39)="","",INDEX(fnEquipLibRange,fnEquipRowNum,39)),"")</f>
        <v/>
      </c>
    </row>
    <row r="40" spans="2:27" hidden="1" outlineLevel="1">
      <c r="B40" s="16"/>
      <c r="C40" s="69"/>
      <c r="D40" s="70"/>
      <c r="E40" s="70" t="str">
        <f ca="1">IFERROR(VLOOKUP(C40,fnEquipLibRange,16,FALSE),"")</f>
        <v/>
      </c>
      <c r="F40" s="70"/>
      <c r="G40" s="131"/>
      <c r="H40" s="107" t="str">
        <f ca="1">IFERROR(VLOOKUP(C40,fnEquipLibRange,2,FALSE),"")</f>
        <v/>
      </c>
      <c r="I40" s="101" t="str">
        <f>IF(ISBLANK(G40),"",IF(G40&lt;VLOOKUP(C40,fnEquipLibRange,3,FALSE),"&gt;&gt;&gt; Too Small &lt;&lt;&lt;",IF(G40&gt;VLOOKUP(C40,fnEquipLibRange,4,FALSE),"&gt;&gt;&gt; Too Large &lt;&lt;&lt;","Yes")))</f>
        <v/>
      </c>
      <c r="J40" s="101"/>
      <c r="K40" s="102" t="str">
        <f>IF(F40*G40=0,"",IFERROR(IF(F40*G40*$D$31/$D$28&lt;VLOOKUP(C40,fnEquipLibRange,3,FALSE),MAX(1,F40),MAX(ROUNDUP(F40*G40*$D$31/$D$28/VLOOKUP(C40,fnEquipLibRange,4,FALSE),0),F40)),""))</f>
        <v/>
      </c>
      <c r="L40" s="103" t="str">
        <f>IF(F40*G40=0,"",IFERROR(IF(F40*G40*$D$31/$D$28&lt;VLOOKUP(C40,fnEquipLibRange,3,FALSE),VLOOKUP(C40,fnEquipLibRange,3,FALSE),F40*G40*$D$31/$D$28/MAX(ROUNDUP(F40*G40*$D$31/$D$28/VLOOKUP(C40,fnEquipLibRange,4,FALSE),0),F40)),""))</f>
        <v/>
      </c>
      <c r="M40" s="103"/>
      <c r="N40" s="104" t="str">
        <f>IF($K40="","",IFERROR($K40*fnEquipCostCorr*fnEquipCostIndex*fnEquipConstMaterial,""))</f>
        <v/>
      </c>
      <c r="O40" s="105" t="str">
        <f ca="1">IFERROR(fnEquipInstFactor*N40,"")</f>
        <v/>
      </c>
      <c r="P40" s="106" t="str">
        <f ca="1">IFERROR(fnEquipLaborFactor*K40,"")</f>
        <v/>
      </c>
      <c r="Q40" s="19"/>
      <c r="S40" s="95" t="str">
        <f t="shared" si="0"/>
        <v/>
      </c>
      <c r="T40" s="11" t="str">
        <f ca="1">IFERROR(IF(INDEX(fnEquipLibRange,fnEquipRowNum,39)="","",INDEX(fnEquipLibRange,fnEquipRowNum,39)),"")</f>
        <v/>
      </c>
    </row>
    <row r="41" spans="2:27" hidden="1" outlineLevel="1">
      <c r="B41" s="16"/>
      <c r="C41" s="69"/>
      <c r="D41" s="70"/>
      <c r="E41" s="70" t="str">
        <f ca="1">IFERROR(VLOOKUP(C41,fnEquipLibRange,16,FALSE),"")</f>
        <v/>
      </c>
      <c r="F41" s="70"/>
      <c r="G41" s="131"/>
      <c r="H41" s="107" t="str">
        <f ca="1">IFERROR(VLOOKUP(C41,fnEquipLibRange,2,FALSE),"")</f>
        <v/>
      </c>
      <c r="I41" s="101" t="str">
        <f>IF(ISBLANK(G41),"",IF(G41&lt;VLOOKUP(C41,fnEquipLibRange,3,FALSE),"&gt;&gt;&gt; Too Small &lt;&lt;&lt;",IF(G41&gt;VLOOKUP(C41,fnEquipLibRange,4,FALSE),"&gt;&gt;&gt; Too Large &lt;&lt;&lt;","Yes")))</f>
        <v/>
      </c>
      <c r="J41" s="101"/>
      <c r="K41" s="102" t="str">
        <f>IF(F41*G41=0,"",IFERROR(IF(F41*G41*$D$31/$D$28&lt;VLOOKUP(C41,fnEquipLibRange,3,FALSE),MAX(1,F41),MAX(ROUNDUP(F41*G41*$D$31/$D$28/VLOOKUP(C41,fnEquipLibRange,4,FALSE),0),F41)),""))</f>
        <v/>
      </c>
      <c r="L41" s="103" t="str">
        <f>IF(F41*G41=0,"",IFERROR(IF(F41*G41*$D$31/$D$28&lt;VLOOKUP(C41,fnEquipLibRange,3,FALSE),VLOOKUP(C41,fnEquipLibRange,3,FALSE),F41*G41*$D$31/$D$28/MAX(ROUNDUP(F41*G41*$D$31/$D$28/VLOOKUP(C41,fnEquipLibRange,4,FALSE),0),F41)),""))</f>
        <v/>
      </c>
      <c r="M41" s="103"/>
      <c r="N41" s="104" t="str">
        <f>IF($K41="","",IFERROR($K41*fnEquipCostCorr*fnEquipCostIndex*fnEquipConstMaterial,""))</f>
        <v/>
      </c>
      <c r="O41" s="105" t="str">
        <f ca="1">IFERROR(fnEquipInstFactor*N41,"")</f>
        <v/>
      </c>
      <c r="P41" s="106" t="str">
        <f ca="1">IFERROR(fnEquipLaborFactor*K41,"")</f>
        <v/>
      </c>
      <c r="Q41" s="19"/>
      <c r="S41" s="95" t="str">
        <f t="shared" si="0"/>
        <v/>
      </c>
      <c r="T41" s="11" t="str">
        <f ca="1">IFERROR(IF(INDEX(fnEquipLibRange,fnEquipRowNum,39)="","",INDEX(fnEquipLibRange,fnEquipRowNum,39)),"")</f>
        <v/>
      </c>
    </row>
    <row r="42" spans="2:27" hidden="1" outlineLevel="1">
      <c r="B42" s="16"/>
      <c r="C42" s="69"/>
      <c r="D42" s="70"/>
      <c r="E42" s="70" t="str">
        <f ca="1">IFERROR(VLOOKUP(C42,fnEquipLibRange,16,FALSE),"")</f>
        <v/>
      </c>
      <c r="F42" s="70"/>
      <c r="G42" s="131"/>
      <c r="H42" s="107" t="str">
        <f ca="1">IFERROR(VLOOKUP(C42,fnEquipLibRange,2,FALSE),"")</f>
        <v/>
      </c>
      <c r="I42" s="101" t="str">
        <f>IF(ISBLANK(G42),"",IF(G42&lt;VLOOKUP(C42,fnEquipLibRange,3,FALSE),"&gt;&gt;&gt; Too Small &lt;&lt;&lt;",IF(G42&gt;VLOOKUP(C42,fnEquipLibRange,4,FALSE),"&gt;&gt;&gt; Too Large &lt;&lt;&lt;","Yes")))</f>
        <v/>
      </c>
      <c r="J42" s="101"/>
      <c r="K42" s="102" t="str">
        <f>IF(F42*G42=0,"",IFERROR(IF(F42*G42*$D$31/$D$28&lt;VLOOKUP(C42,fnEquipLibRange,3,FALSE),MAX(1,F42),MAX(ROUNDUP(F42*G42*$D$31/$D$28/VLOOKUP(C42,fnEquipLibRange,4,FALSE),0),F42)),""))</f>
        <v/>
      </c>
      <c r="L42" s="103" t="str">
        <f>IF(F42*G42=0,"",IFERROR(IF(F42*G42*$D$31/$D$28&lt;VLOOKUP(C42,fnEquipLibRange,3,FALSE),VLOOKUP(C42,fnEquipLibRange,3,FALSE),F42*G42*$D$31/$D$28/MAX(ROUNDUP(F42*G42*$D$31/$D$28/VLOOKUP(C42,fnEquipLibRange,4,FALSE),0),F42)),""))</f>
        <v/>
      </c>
      <c r="M42" s="103"/>
      <c r="N42" s="104" t="str">
        <f>IF($K42="","",IFERROR($K42*fnEquipCostCorr*fnEquipCostIndex*fnEquipConstMaterial,""))</f>
        <v/>
      </c>
      <c r="O42" s="105" t="str">
        <f ca="1">IFERROR(fnEquipInstFactor*N42,"")</f>
        <v/>
      </c>
      <c r="P42" s="106" t="str">
        <f ca="1">IFERROR(fnEquipLaborFactor*K42,"")</f>
        <v/>
      </c>
      <c r="Q42" s="19"/>
      <c r="S42" s="95" t="str">
        <f t="shared" si="0"/>
        <v/>
      </c>
      <c r="T42" s="11" t="str">
        <f ca="1">IFERROR(IF(INDEX(fnEquipLibRange,fnEquipRowNum,39)="","",INDEX(fnEquipLibRange,fnEquipRowNum,39)),"")</f>
        <v/>
      </c>
    </row>
    <row r="43" spans="2:27" hidden="1" outlineLevel="1">
      <c r="B43" s="16"/>
      <c r="C43" s="69"/>
      <c r="D43" s="70"/>
      <c r="E43" s="70" t="str">
        <f ca="1">IFERROR(VLOOKUP(C43,fnEquipLibRange,16,FALSE),"")</f>
        <v/>
      </c>
      <c r="F43" s="70"/>
      <c r="G43" s="131"/>
      <c r="H43" s="107" t="str">
        <f ca="1">IFERROR(VLOOKUP(C43,fnEquipLibRange,2,FALSE),"")</f>
        <v/>
      </c>
      <c r="I43" s="101" t="str">
        <f>IF(ISBLANK(G43),"",IF(G43&lt;VLOOKUP(C43,fnEquipLibRange,3,FALSE),"&gt;&gt;&gt; Too Small &lt;&lt;&lt;",IF(G43&gt;VLOOKUP(C43,fnEquipLibRange,4,FALSE),"&gt;&gt;&gt; Too Large &lt;&lt;&lt;","Yes")))</f>
        <v/>
      </c>
      <c r="J43" s="101"/>
      <c r="K43" s="102" t="str">
        <f>IF(F43*G43=0,"",IFERROR(IF(F43*G43*$D$31/$D$28&lt;VLOOKUP(C43,fnEquipLibRange,3,FALSE),MAX(1,F43),MAX(ROUNDUP(F43*G43*$D$31/$D$28/VLOOKUP(C43,fnEquipLibRange,4,FALSE),0),F43)),""))</f>
        <v/>
      </c>
      <c r="L43" s="103" t="str">
        <f>IF(F43*G43=0,"",IFERROR(IF(F43*G43*$D$31/$D$28&lt;VLOOKUP(C43,fnEquipLibRange,3,FALSE),VLOOKUP(C43,fnEquipLibRange,3,FALSE),F43*G43*$D$31/$D$28/MAX(ROUNDUP(F43*G43*$D$31/$D$28/VLOOKUP(C43,fnEquipLibRange,4,FALSE),0),F43)),""))</f>
        <v/>
      </c>
      <c r="M43" s="103"/>
      <c r="N43" s="104" t="str">
        <f>IF($K43="","",IFERROR($K43*fnEquipCostCorr*fnEquipCostIndex*fnEquipConstMaterial,""))</f>
        <v/>
      </c>
      <c r="O43" s="105" t="str">
        <f ca="1">IFERROR(fnEquipInstFactor*N43,"")</f>
        <v/>
      </c>
      <c r="P43" s="106" t="str">
        <f ca="1">IFERROR(fnEquipLaborFactor*K43,"")</f>
        <v/>
      </c>
      <c r="Q43" s="19"/>
      <c r="S43" s="95" t="str">
        <f t="shared" si="0"/>
        <v/>
      </c>
      <c r="T43" s="11" t="str">
        <f ca="1">IFERROR(IF(INDEX(fnEquipLibRange,fnEquipRowNum,39)="","",INDEX(fnEquipLibRange,fnEquipRowNum,39)),"")</f>
        <v/>
      </c>
    </row>
    <row r="44" spans="2:27" hidden="1" outlineLevel="1">
      <c r="B44" s="16"/>
      <c r="C44" s="69"/>
      <c r="D44" s="70"/>
      <c r="E44" s="70" t="str">
        <f ca="1">IFERROR(VLOOKUP(C44,fnEquipLibRange,16,FALSE),"")</f>
        <v/>
      </c>
      <c r="F44" s="70"/>
      <c r="G44" s="131"/>
      <c r="H44" s="107" t="str">
        <f ca="1">IFERROR(VLOOKUP(C44,fnEquipLibRange,2,FALSE),"")</f>
        <v/>
      </c>
      <c r="I44" s="101" t="str">
        <f>IF(ISBLANK(G44),"",IF(G44&lt;VLOOKUP(C44,fnEquipLibRange,3,FALSE),"&gt;&gt;&gt; Too Small &lt;&lt;&lt;",IF(G44&gt;VLOOKUP(C44,fnEquipLibRange,4,FALSE),"&gt;&gt;&gt; Too Large &lt;&lt;&lt;","Yes")))</f>
        <v/>
      </c>
      <c r="J44" s="101"/>
      <c r="K44" s="102" t="str">
        <f>IF(F44*G44=0,"",IFERROR(IF(F44*G44*$D$31/$D$28&lt;VLOOKUP(C44,fnEquipLibRange,3,FALSE),MAX(1,F44),MAX(ROUNDUP(F44*G44*$D$31/$D$28/VLOOKUP(C44,fnEquipLibRange,4,FALSE),0),F44)),""))</f>
        <v/>
      </c>
      <c r="L44" s="103" t="str">
        <f>IF(F44*G44=0,"",IFERROR(IF(F44*G44*$D$31/$D$28&lt;VLOOKUP(C44,fnEquipLibRange,3,FALSE),VLOOKUP(C44,fnEquipLibRange,3,FALSE),F44*G44*$D$31/$D$28/MAX(ROUNDUP(F44*G44*$D$31/$D$28/VLOOKUP(C44,fnEquipLibRange,4,FALSE),0),F44)),""))</f>
        <v/>
      </c>
      <c r="M44" s="103"/>
      <c r="N44" s="104" t="str">
        <f>IF($K44="","",IFERROR($K44*fnEquipCostCorr*fnEquipCostIndex*fnEquipConstMaterial,""))</f>
        <v/>
      </c>
      <c r="O44" s="105" t="str">
        <f ca="1">IFERROR(fnEquipInstFactor*N44,"")</f>
        <v/>
      </c>
      <c r="P44" s="106" t="str">
        <f ca="1">IFERROR(fnEquipLaborFactor*K44,"")</f>
        <v/>
      </c>
      <c r="Q44" s="19"/>
      <c r="S44" s="95" t="str">
        <f t="shared" si="0"/>
        <v/>
      </c>
      <c r="T44" s="11" t="str">
        <f ca="1">IFERROR(IF(INDEX(fnEquipLibRange,fnEquipRowNum,39)="","",INDEX(fnEquipLibRange,fnEquipRowNum,39)),"")</f>
        <v/>
      </c>
    </row>
    <row r="45" spans="2:27" hidden="1" outlineLevel="1">
      <c r="B45" s="16"/>
      <c r="C45" s="69"/>
      <c r="D45" s="70"/>
      <c r="E45" s="70" t="str">
        <f ca="1">IFERROR(VLOOKUP(C45,fnEquipLibRange,16,FALSE),"")</f>
        <v/>
      </c>
      <c r="F45" s="70"/>
      <c r="G45" s="131"/>
      <c r="H45" s="107" t="str">
        <f ca="1">IFERROR(VLOOKUP(C45,fnEquipLibRange,2,FALSE),"")</f>
        <v/>
      </c>
      <c r="I45" s="101" t="str">
        <f>IF(ISBLANK(G45),"",IF(G45&lt;VLOOKUP(C45,fnEquipLibRange,3,FALSE),"&gt;&gt;&gt; Too Small &lt;&lt;&lt;",IF(G45&gt;VLOOKUP(C45,fnEquipLibRange,4,FALSE),"&gt;&gt;&gt; Too Large &lt;&lt;&lt;","Yes")))</f>
        <v/>
      </c>
      <c r="J45" s="101"/>
      <c r="K45" s="102" t="str">
        <f>IF(F45*G45=0,"",IFERROR(IF(F45*G45*$D$31/$D$28&lt;VLOOKUP(C45,fnEquipLibRange,3,FALSE),MAX(1,F45),MAX(ROUNDUP(F45*G45*$D$31/$D$28/VLOOKUP(C45,fnEquipLibRange,4,FALSE),0),F45)),""))</f>
        <v/>
      </c>
      <c r="L45" s="103" t="str">
        <f>IF(F45*G45=0,"",IFERROR(IF(F45*G45*$D$31/$D$28&lt;VLOOKUP(C45,fnEquipLibRange,3,FALSE),VLOOKUP(C45,fnEquipLibRange,3,FALSE),F45*G45*$D$31/$D$28/MAX(ROUNDUP(F45*G45*$D$31/$D$28/VLOOKUP(C45,fnEquipLibRange,4,FALSE),0),F45)),""))</f>
        <v/>
      </c>
      <c r="M45" s="103"/>
      <c r="N45" s="104" t="str">
        <f>IF($K45="","",IFERROR($K45*fnEquipCostCorr*fnEquipCostIndex*fnEquipConstMaterial,""))</f>
        <v/>
      </c>
      <c r="O45" s="105" t="str">
        <f ca="1">IFERROR(fnEquipInstFactor*N45,"")</f>
        <v/>
      </c>
      <c r="P45" s="106" t="str">
        <f ca="1">IFERROR(fnEquipLaborFactor*K45,"")</f>
        <v/>
      </c>
      <c r="Q45" s="19"/>
      <c r="S45" s="95" t="str">
        <f t="shared" si="0"/>
        <v/>
      </c>
      <c r="T45" s="11" t="str">
        <f ca="1">IFERROR(IF(INDEX(fnEquipLibRange,fnEquipRowNum,39)="","",INDEX(fnEquipLibRange,fnEquipRowNum,39)),"")</f>
        <v/>
      </c>
    </row>
    <row r="46" spans="2:27" hidden="1" outlineLevel="1">
      <c r="B46" s="16"/>
      <c r="C46" s="69"/>
      <c r="D46" s="70"/>
      <c r="E46" s="70" t="str">
        <f ca="1">IFERROR(VLOOKUP(C46,fnEquipLibRange,16,FALSE),"")</f>
        <v/>
      </c>
      <c r="F46" s="70"/>
      <c r="G46" s="131"/>
      <c r="H46" s="107" t="str">
        <f ca="1">IFERROR(VLOOKUP(C46,fnEquipLibRange,2,FALSE),"")</f>
        <v/>
      </c>
      <c r="I46" s="101" t="str">
        <f>IF(ISBLANK(G46),"",IF(G46&lt;VLOOKUP(C46,fnEquipLibRange,3,FALSE),"&gt;&gt;&gt; Too Small &lt;&lt;&lt;",IF(G46&gt;VLOOKUP(C46,fnEquipLibRange,4,FALSE),"&gt;&gt;&gt; Too Large &lt;&lt;&lt;","Yes")))</f>
        <v/>
      </c>
      <c r="J46" s="101"/>
      <c r="K46" s="102" t="str">
        <f>IF(F46*G46=0,"",IFERROR(IF(F46*G46*$D$31/$D$28&lt;VLOOKUP(C46,fnEquipLibRange,3,FALSE),MAX(1,F46),MAX(ROUNDUP(F46*G46*$D$31/$D$28/VLOOKUP(C46,fnEquipLibRange,4,FALSE),0),F46)),""))</f>
        <v/>
      </c>
      <c r="L46" s="103" t="str">
        <f>IF(F46*G46=0,"",IFERROR(IF(F46*G46*$D$31/$D$28&lt;VLOOKUP(C46,fnEquipLibRange,3,FALSE),VLOOKUP(C46,fnEquipLibRange,3,FALSE),F46*G46*$D$31/$D$28/MAX(ROUNDUP(F46*G46*$D$31/$D$28/VLOOKUP(C46,fnEquipLibRange,4,FALSE),0),F46)),""))</f>
        <v/>
      </c>
      <c r="M46" s="103"/>
      <c r="N46" s="104" t="str">
        <f>IF($K46="","",IFERROR($K46*fnEquipCostCorr*fnEquipCostIndex*fnEquipConstMaterial,""))</f>
        <v/>
      </c>
      <c r="O46" s="105" t="str">
        <f ca="1">IFERROR(fnEquipInstFactor*N46,"")</f>
        <v/>
      </c>
      <c r="P46" s="106" t="str">
        <f ca="1">IFERROR(fnEquipLaborFactor*K46,"")</f>
        <v/>
      </c>
      <c r="Q46" s="19"/>
      <c r="S46" s="95" t="str">
        <f t="shared" si="0"/>
        <v/>
      </c>
      <c r="T46" s="11" t="str">
        <f ca="1">IFERROR(IF(INDEX(fnEquipLibRange,fnEquipRowNum,39)="","",INDEX(fnEquipLibRange,fnEquipRowNum,39)),"")</f>
        <v/>
      </c>
    </row>
    <row r="47" spans="2:27" hidden="1" outlineLevel="1">
      <c r="B47" s="16"/>
      <c r="C47" s="69"/>
      <c r="D47" s="70"/>
      <c r="E47" s="70" t="str">
        <f ca="1">IFERROR(VLOOKUP(C47,fnEquipLibRange,16,FALSE),"")</f>
        <v/>
      </c>
      <c r="F47" s="70"/>
      <c r="G47" s="131"/>
      <c r="H47" s="107" t="str">
        <f ca="1">IFERROR(VLOOKUP(C47,fnEquipLibRange,2,FALSE),"")</f>
        <v/>
      </c>
      <c r="I47" s="101" t="str">
        <f>IF(ISBLANK(G47),"",IF(G47&lt;VLOOKUP(C47,fnEquipLibRange,3,FALSE),"&gt;&gt;&gt; Too Small &lt;&lt;&lt;",IF(G47&gt;VLOOKUP(C47,fnEquipLibRange,4,FALSE),"&gt;&gt;&gt; Too Large &lt;&lt;&lt;","Yes")))</f>
        <v/>
      </c>
      <c r="J47" s="101"/>
      <c r="K47" s="102" t="str">
        <f>IF(F47*G47=0,"",IFERROR(IF(F47*G47*$D$31/$D$28&lt;VLOOKUP(C47,fnEquipLibRange,3,FALSE),MAX(1,F47),MAX(ROUNDUP(F47*G47*$D$31/$D$28/VLOOKUP(C47,fnEquipLibRange,4,FALSE),0),F47)),""))</f>
        <v/>
      </c>
      <c r="L47" s="103" t="str">
        <f>IF(F47*G47=0,"",IFERROR(IF(F47*G47*$D$31/$D$28&lt;VLOOKUP(C47,fnEquipLibRange,3,FALSE),VLOOKUP(C47,fnEquipLibRange,3,FALSE),F47*G47*$D$31/$D$28/MAX(ROUNDUP(F47*G47*$D$31/$D$28/VLOOKUP(C47,fnEquipLibRange,4,FALSE),0),F47)),""))</f>
        <v/>
      </c>
      <c r="M47" s="103"/>
      <c r="N47" s="104" t="str">
        <f>IF($K47="","",IFERROR($K47*fnEquipCostCorr*fnEquipCostIndex*fnEquipConstMaterial,""))</f>
        <v/>
      </c>
      <c r="O47" s="105" t="str">
        <f ca="1">IFERROR(fnEquipInstFactor*N47,"")</f>
        <v/>
      </c>
      <c r="P47" s="106" t="str">
        <f ca="1">IFERROR(fnEquipLaborFactor*K47,"")</f>
        <v/>
      </c>
      <c r="Q47" s="19"/>
      <c r="S47" s="95" t="str">
        <f t="shared" si="0"/>
        <v/>
      </c>
      <c r="T47" s="11" t="str">
        <f ca="1">IFERROR(IF(INDEX(fnEquipLibRange,fnEquipRowNum,39)="","",INDEX(fnEquipLibRange,fnEquipRowNum,39)),"")</f>
        <v/>
      </c>
    </row>
    <row r="48" spans="2:27" hidden="1" outlineLevel="1">
      <c r="B48" s="16"/>
      <c r="C48" s="69"/>
      <c r="D48" s="70"/>
      <c r="E48" s="70" t="str">
        <f ca="1">IFERROR(VLOOKUP(C48,fnEquipLibRange,16,FALSE),"")</f>
        <v/>
      </c>
      <c r="F48" s="70"/>
      <c r="G48" s="131"/>
      <c r="H48" s="107" t="str">
        <f ca="1">IFERROR(VLOOKUP(C48,fnEquipLibRange,2,FALSE),"")</f>
        <v/>
      </c>
      <c r="I48" s="101" t="str">
        <f>IF(ISBLANK(G48),"",IF(G48&lt;VLOOKUP(C48,fnEquipLibRange,3,FALSE),"&gt;&gt;&gt; Too Small &lt;&lt;&lt;",IF(G48&gt;VLOOKUP(C48,fnEquipLibRange,4,FALSE),"&gt;&gt;&gt; Too Large &lt;&lt;&lt;","Yes")))</f>
        <v/>
      </c>
      <c r="J48" s="101"/>
      <c r="K48" s="102" t="str">
        <f>IF(F48*G48=0,"",IFERROR(IF(F48*G48*$D$31/$D$28&lt;VLOOKUP(C48,fnEquipLibRange,3,FALSE),MAX(1,F48),MAX(ROUNDUP(F48*G48*$D$31/$D$28/VLOOKUP(C48,fnEquipLibRange,4,FALSE),0),F48)),""))</f>
        <v/>
      </c>
      <c r="L48" s="103" t="str">
        <f>IF(F48*G48=0,"",IFERROR(IF(F48*G48*$D$31/$D$28&lt;VLOOKUP(C48,fnEquipLibRange,3,FALSE),VLOOKUP(C48,fnEquipLibRange,3,FALSE),F48*G48*$D$31/$D$28/MAX(ROUNDUP(F48*G48*$D$31/$D$28/VLOOKUP(C48,fnEquipLibRange,4,FALSE),0),F48)),""))</f>
        <v/>
      </c>
      <c r="M48" s="103"/>
      <c r="N48" s="104" t="str">
        <f>IF($K48="","",IFERROR($K48*fnEquipCostCorr*fnEquipCostIndex*fnEquipConstMaterial,""))</f>
        <v/>
      </c>
      <c r="O48" s="105" t="str">
        <f ca="1">IFERROR(fnEquipInstFactor*N48,"")</f>
        <v/>
      </c>
      <c r="P48" s="106" t="str">
        <f ca="1">IFERROR(fnEquipLaborFactor*K48,"")</f>
        <v/>
      </c>
      <c r="Q48" s="19"/>
      <c r="S48" s="95" t="str">
        <f t="shared" si="0"/>
        <v/>
      </c>
      <c r="T48" s="11" t="str">
        <f ca="1">IFERROR(IF(INDEX(fnEquipLibRange,fnEquipRowNum,39)="","",INDEX(fnEquipLibRange,fnEquipRowNum,39)),"")</f>
        <v/>
      </c>
    </row>
    <row r="49" spans="2:20" hidden="1" outlineLevel="1">
      <c r="B49" s="16"/>
      <c r="C49" s="69"/>
      <c r="D49" s="70"/>
      <c r="E49" s="70" t="str">
        <f ca="1">IFERROR(VLOOKUP(C49,fnEquipLibRange,16,FALSE),"")</f>
        <v/>
      </c>
      <c r="F49" s="70"/>
      <c r="G49" s="131"/>
      <c r="H49" s="107" t="str">
        <f ca="1">IFERROR(VLOOKUP(C49,fnEquipLibRange,2,FALSE),"")</f>
        <v/>
      </c>
      <c r="I49" s="101" t="str">
        <f>IF(ISBLANK(G49),"",IF(G49&lt;VLOOKUP(C49,fnEquipLibRange,3,FALSE),"&gt;&gt;&gt; Too Small &lt;&lt;&lt;",IF(G49&gt;VLOOKUP(C49,fnEquipLibRange,4,FALSE),"&gt;&gt;&gt; Too Large &lt;&lt;&lt;","Yes")))</f>
        <v/>
      </c>
      <c r="J49" s="101"/>
      <c r="K49" s="102" t="str">
        <f>IF(F49*G49=0,"",IFERROR(IF(F49*G49*$D$31/$D$28&lt;VLOOKUP(C49,fnEquipLibRange,3,FALSE),MAX(1,F49),MAX(ROUNDUP(F49*G49*$D$31/$D$28/VLOOKUP(C49,fnEquipLibRange,4,FALSE),0),F49)),""))</f>
        <v/>
      </c>
      <c r="L49" s="103" t="str">
        <f>IF(F49*G49=0,"",IFERROR(IF(F49*G49*$D$31/$D$28&lt;VLOOKUP(C49,fnEquipLibRange,3,FALSE),VLOOKUP(C49,fnEquipLibRange,3,FALSE),F49*G49*$D$31/$D$28/MAX(ROUNDUP(F49*G49*$D$31/$D$28/VLOOKUP(C49,fnEquipLibRange,4,FALSE),0),F49)),""))</f>
        <v/>
      </c>
      <c r="M49" s="103"/>
      <c r="N49" s="104" t="str">
        <f>IF($K49="","",IFERROR($K49*fnEquipCostCorr*fnEquipCostIndex*fnEquipConstMaterial,""))</f>
        <v/>
      </c>
      <c r="O49" s="105" t="str">
        <f ca="1">IFERROR(fnEquipInstFactor*N49,"")</f>
        <v/>
      </c>
      <c r="P49" s="106" t="str">
        <f ca="1">IFERROR(fnEquipLaborFactor*K49,"")</f>
        <v/>
      </c>
      <c r="Q49" s="19"/>
      <c r="S49" s="95" t="str">
        <f t="shared" si="0"/>
        <v/>
      </c>
      <c r="T49" s="11" t="str">
        <f ca="1">IFERROR(IF(INDEX(fnEquipLibRange,fnEquipRowNum,39)="","",INDEX(fnEquipLibRange,fnEquipRowNum,39)),"")</f>
        <v/>
      </c>
    </row>
    <row r="50" spans="2:20" hidden="1" outlineLevel="1">
      <c r="B50" s="16"/>
      <c r="C50" s="69"/>
      <c r="D50" s="70"/>
      <c r="E50" s="70" t="str">
        <f ca="1">IFERROR(VLOOKUP(C50,fnEquipLibRange,16,FALSE),"")</f>
        <v/>
      </c>
      <c r="F50" s="70"/>
      <c r="G50" s="131"/>
      <c r="H50" s="107" t="str">
        <f ca="1">IFERROR(VLOOKUP(C50,fnEquipLibRange,2,FALSE),"")</f>
        <v/>
      </c>
      <c r="I50" s="101" t="str">
        <f>IF(ISBLANK(G50),"",IF(G50&lt;VLOOKUP(C50,fnEquipLibRange,3,FALSE),"&gt;&gt;&gt; Too Small &lt;&lt;&lt;",IF(G50&gt;VLOOKUP(C50,fnEquipLibRange,4,FALSE),"&gt;&gt;&gt; Too Large &lt;&lt;&lt;","Yes")))</f>
        <v/>
      </c>
      <c r="J50" s="101"/>
      <c r="K50" s="102" t="str">
        <f>IF(F50*G50=0,"",IFERROR(IF(F50*G50*$D$31/$D$28&lt;VLOOKUP(C50,fnEquipLibRange,3,FALSE),MAX(1,F50),MAX(ROUNDUP(F50*G50*$D$31/$D$28/VLOOKUP(C50,fnEquipLibRange,4,FALSE),0),F50)),""))</f>
        <v/>
      </c>
      <c r="L50" s="103" t="str">
        <f>IF(F50*G50=0,"",IFERROR(IF(F50*G50*$D$31/$D$28&lt;VLOOKUP(C50,fnEquipLibRange,3,FALSE),VLOOKUP(C50,fnEquipLibRange,3,FALSE),F50*G50*$D$31/$D$28/MAX(ROUNDUP(F50*G50*$D$31/$D$28/VLOOKUP(C50,fnEquipLibRange,4,FALSE),0),F50)),""))</f>
        <v/>
      </c>
      <c r="M50" s="103"/>
      <c r="N50" s="104" t="str">
        <f>IF($K50="","",IFERROR($K50*fnEquipCostCorr*fnEquipCostIndex*fnEquipConstMaterial,""))</f>
        <v/>
      </c>
      <c r="O50" s="105" t="str">
        <f ca="1">IFERROR(fnEquipInstFactor*N50,"")</f>
        <v/>
      </c>
      <c r="P50" s="106" t="str">
        <f ca="1">IFERROR(fnEquipLaborFactor*K50,"")</f>
        <v/>
      </c>
      <c r="Q50" s="19"/>
      <c r="S50" s="95" t="str">
        <f t="shared" si="0"/>
        <v/>
      </c>
      <c r="T50" s="11" t="str">
        <f ca="1">IFERROR(IF(INDEX(fnEquipLibRange,fnEquipRowNum,39)="","",INDEX(fnEquipLibRange,fnEquipRowNum,39)),"")</f>
        <v/>
      </c>
    </row>
    <row r="51" spans="2:20" hidden="1" outlineLevel="1">
      <c r="B51" s="16"/>
      <c r="C51" s="69"/>
      <c r="D51" s="70"/>
      <c r="E51" s="70" t="str">
        <f ca="1">IFERROR(VLOOKUP(C51,fnEquipLibRange,16,FALSE),"")</f>
        <v/>
      </c>
      <c r="F51" s="70"/>
      <c r="G51" s="131"/>
      <c r="H51" s="107" t="str">
        <f ca="1">IFERROR(VLOOKUP(C51,fnEquipLibRange,2,FALSE),"")</f>
        <v/>
      </c>
      <c r="I51" s="101" t="str">
        <f>IF(ISBLANK(G51),"",IF(G51&lt;VLOOKUP(C51,fnEquipLibRange,3,FALSE),"&gt;&gt;&gt; Too Small &lt;&lt;&lt;",IF(G51&gt;VLOOKUP(C51,fnEquipLibRange,4,FALSE),"&gt;&gt;&gt; Too Large &lt;&lt;&lt;","Yes")))</f>
        <v/>
      </c>
      <c r="J51" s="101"/>
      <c r="K51" s="102" t="str">
        <f>IF(F51*G51=0,"",IFERROR(IF(F51*G51*$D$31/$D$28&lt;VLOOKUP(C51,fnEquipLibRange,3,FALSE),MAX(1,F51),MAX(ROUNDUP(F51*G51*$D$31/$D$28/VLOOKUP(C51,fnEquipLibRange,4,FALSE),0),F51)),""))</f>
        <v/>
      </c>
      <c r="L51" s="103" t="str">
        <f>IF(F51*G51=0,"",IFERROR(IF(F51*G51*$D$31/$D$28&lt;VLOOKUP(C51,fnEquipLibRange,3,FALSE),VLOOKUP(C51,fnEquipLibRange,3,FALSE),F51*G51*$D$31/$D$28/MAX(ROUNDUP(F51*G51*$D$31/$D$28/VLOOKUP(C51,fnEquipLibRange,4,FALSE),0),F51)),""))</f>
        <v/>
      </c>
      <c r="M51" s="103"/>
      <c r="N51" s="104" t="str">
        <f>IF($K51="","",IFERROR($K51*fnEquipCostCorr*fnEquipCostIndex*fnEquipConstMaterial,""))</f>
        <v/>
      </c>
      <c r="O51" s="105" t="str">
        <f ca="1">IFERROR(fnEquipInstFactor*N51,"")</f>
        <v/>
      </c>
      <c r="P51" s="106" t="str">
        <f ca="1">IFERROR(fnEquipLaborFactor*K51,"")</f>
        <v/>
      </c>
      <c r="Q51" s="19"/>
      <c r="S51" s="95" t="str">
        <f t="shared" si="0"/>
        <v/>
      </c>
      <c r="T51" s="11" t="str">
        <f ca="1">IFERROR(IF(INDEX(fnEquipLibRange,fnEquipRowNum,39)="","",INDEX(fnEquipLibRange,fnEquipRowNum,39)),"")</f>
        <v/>
      </c>
    </row>
    <row r="52" spans="2:20" hidden="1" outlineLevel="1">
      <c r="B52" s="16"/>
      <c r="C52" s="69"/>
      <c r="D52" s="70"/>
      <c r="E52" s="70" t="str">
        <f ca="1">IFERROR(VLOOKUP(C52,fnEquipLibRange,16,FALSE),"")</f>
        <v/>
      </c>
      <c r="F52" s="70"/>
      <c r="G52" s="131"/>
      <c r="H52" s="107" t="str">
        <f ca="1">IFERROR(VLOOKUP(C52,fnEquipLibRange,2,FALSE),"")</f>
        <v/>
      </c>
      <c r="I52" s="101" t="str">
        <f>IF(ISBLANK(G52),"",IF(G52&lt;VLOOKUP(C52,fnEquipLibRange,3,FALSE),"&gt;&gt;&gt; Too Small &lt;&lt;&lt;",IF(G52&gt;VLOOKUP(C52,fnEquipLibRange,4,FALSE),"&gt;&gt;&gt; Too Large &lt;&lt;&lt;","Yes")))</f>
        <v/>
      </c>
      <c r="J52" s="101"/>
      <c r="K52" s="102" t="str">
        <f>IF(F52*G52=0,"",IFERROR(IF(F52*G52*$D$31/$D$28&lt;VLOOKUP(C52,fnEquipLibRange,3,FALSE),MAX(1,F52),MAX(ROUNDUP(F52*G52*$D$31/$D$28/VLOOKUP(C52,fnEquipLibRange,4,FALSE),0),F52)),""))</f>
        <v/>
      </c>
      <c r="L52" s="103" t="str">
        <f>IF(F52*G52=0,"",IFERROR(IF(F52*G52*$D$31/$D$28&lt;VLOOKUP(C52,fnEquipLibRange,3,FALSE),VLOOKUP(C52,fnEquipLibRange,3,FALSE),F52*G52*$D$31/$D$28/MAX(ROUNDUP(F52*G52*$D$31/$D$28/VLOOKUP(C52,fnEquipLibRange,4,FALSE),0),F52)),""))</f>
        <v/>
      </c>
      <c r="M52" s="103"/>
      <c r="N52" s="104" t="str">
        <f>IF($K52="","",IFERROR($K52*fnEquipCostCorr*fnEquipCostIndex*fnEquipConstMaterial,""))</f>
        <v/>
      </c>
      <c r="O52" s="105" t="str">
        <f ca="1">IFERROR(fnEquipInstFactor*N52,"")</f>
        <v/>
      </c>
      <c r="P52" s="106" t="str">
        <f ca="1">IFERROR(fnEquipLaborFactor*K52,"")</f>
        <v/>
      </c>
      <c r="Q52" s="19"/>
      <c r="S52" s="95" t="str">
        <f t="shared" si="0"/>
        <v/>
      </c>
      <c r="T52" s="11" t="str">
        <f ca="1">IFERROR(IF(INDEX(fnEquipLibRange,fnEquipRowNum,39)="","",INDEX(fnEquipLibRange,fnEquipRowNum,39)),"")</f>
        <v/>
      </c>
    </row>
    <row r="53" spans="2:20" hidden="1" outlineLevel="1">
      <c r="B53" s="16"/>
      <c r="C53" s="69"/>
      <c r="D53" s="70"/>
      <c r="E53" s="70" t="str">
        <f ca="1">IFERROR(VLOOKUP(C53,fnEquipLibRange,16,FALSE),"")</f>
        <v/>
      </c>
      <c r="F53" s="70"/>
      <c r="G53" s="131"/>
      <c r="H53" s="107" t="str">
        <f ca="1">IFERROR(VLOOKUP(C53,fnEquipLibRange,2,FALSE),"")</f>
        <v/>
      </c>
      <c r="I53" s="101" t="str">
        <f>IF(ISBLANK(G53),"",IF(G53&lt;VLOOKUP(C53,fnEquipLibRange,3,FALSE),"&gt;&gt;&gt; Too Small &lt;&lt;&lt;",IF(G53&gt;VLOOKUP(C53,fnEquipLibRange,4,FALSE),"&gt;&gt;&gt; Too Large &lt;&lt;&lt;","Yes")))</f>
        <v/>
      </c>
      <c r="J53" s="101"/>
      <c r="K53" s="102" t="str">
        <f>IF(F53*G53=0,"",IFERROR(IF(F53*G53*$D$31/$D$28&lt;VLOOKUP(C53,fnEquipLibRange,3,FALSE),MAX(1,F53),MAX(ROUNDUP(F53*G53*$D$31/$D$28/VLOOKUP(C53,fnEquipLibRange,4,FALSE),0),F53)),""))</f>
        <v/>
      </c>
      <c r="L53" s="103" t="str">
        <f>IF(F53*G53=0,"",IFERROR(IF(F53*G53*$D$31/$D$28&lt;VLOOKUP(C53,fnEquipLibRange,3,FALSE),VLOOKUP(C53,fnEquipLibRange,3,FALSE),F53*G53*$D$31/$D$28/MAX(ROUNDUP(F53*G53*$D$31/$D$28/VLOOKUP(C53,fnEquipLibRange,4,FALSE),0),F53)),""))</f>
        <v/>
      </c>
      <c r="M53" s="103"/>
      <c r="N53" s="104" t="str">
        <f>IF($K53="","",IFERROR($K53*fnEquipCostCorr*fnEquipCostIndex*fnEquipConstMaterial,""))</f>
        <v/>
      </c>
      <c r="O53" s="105" t="str">
        <f ca="1">IFERROR(fnEquipInstFactor*N53,"")</f>
        <v/>
      </c>
      <c r="P53" s="106" t="str">
        <f ca="1">IFERROR(fnEquipLaborFactor*K53,"")</f>
        <v/>
      </c>
      <c r="Q53" s="19"/>
      <c r="S53" s="95" t="str">
        <f t="shared" si="0"/>
        <v/>
      </c>
      <c r="T53" s="11" t="str">
        <f ca="1">IFERROR(IF(INDEX(fnEquipLibRange,fnEquipRowNum,39)="","",INDEX(fnEquipLibRange,fnEquipRowNum,39)),"")</f>
        <v/>
      </c>
    </row>
    <row r="54" spans="2:20" hidden="1" outlineLevel="1">
      <c r="B54" s="16"/>
      <c r="C54" s="69"/>
      <c r="D54" s="70"/>
      <c r="E54" s="70" t="str">
        <f ca="1">IFERROR(VLOOKUP(C54,fnEquipLibRange,16,FALSE),"")</f>
        <v/>
      </c>
      <c r="F54" s="70"/>
      <c r="G54" s="131"/>
      <c r="H54" s="107" t="str">
        <f ca="1">IFERROR(VLOOKUP(C54,fnEquipLibRange,2,FALSE),"")</f>
        <v/>
      </c>
      <c r="I54" s="101" t="str">
        <f>IF(ISBLANK(G54),"",IF(G54&lt;VLOOKUP(C54,fnEquipLibRange,3,FALSE),"&gt;&gt;&gt; Too Small &lt;&lt;&lt;",IF(G54&gt;VLOOKUP(C54,fnEquipLibRange,4,FALSE),"&gt;&gt;&gt; Too Large &lt;&lt;&lt;","Yes")))</f>
        <v/>
      </c>
      <c r="J54" s="101"/>
      <c r="K54" s="102" t="str">
        <f>IF(F54*G54=0,"",IFERROR(IF(F54*G54*$D$31/$D$28&lt;VLOOKUP(C54,fnEquipLibRange,3,FALSE),MAX(1,F54),MAX(ROUNDUP(F54*G54*$D$31/$D$28/VLOOKUP(C54,fnEquipLibRange,4,FALSE),0),F54)),""))</f>
        <v/>
      </c>
      <c r="L54" s="103" t="str">
        <f>IF(F54*G54=0,"",IFERROR(IF(F54*G54*$D$31/$D$28&lt;VLOOKUP(C54,fnEquipLibRange,3,FALSE),VLOOKUP(C54,fnEquipLibRange,3,FALSE),F54*G54*$D$31/$D$28/MAX(ROUNDUP(F54*G54*$D$31/$D$28/VLOOKUP(C54,fnEquipLibRange,4,FALSE),0),F54)),""))</f>
        <v/>
      </c>
      <c r="M54" s="103"/>
      <c r="N54" s="104" t="str">
        <f>IF($K54="","",IFERROR($K54*fnEquipCostCorr*fnEquipCostIndex*fnEquipConstMaterial,""))</f>
        <v/>
      </c>
      <c r="O54" s="105" t="str">
        <f ca="1">IFERROR(fnEquipInstFactor*N54,"")</f>
        <v/>
      </c>
      <c r="P54" s="106" t="str">
        <f ca="1">IFERROR(fnEquipLaborFactor*K54,"")</f>
        <v/>
      </c>
      <c r="Q54" s="19"/>
      <c r="S54" s="95" t="str">
        <f t="shared" si="0"/>
        <v/>
      </c>
      <c r="T54" s="11" t="str">
        <f ca="1">IFERROR(IF(INDEX(fnEquipLibRange,fnEquipRowNum,39)="","",INDEX(fnEquipLibRange,fnEquipRowNum,39)),"")</f>
        <v/>
      </c>
    </row>
    <row r="55" spans="2:20" hidden="1" outlineLevel="1">
      <c r="B55" s="16"/>
      <c r="C55" s="69"/>
      <c r="D55" s="70"/>
      <c r="E55" s="70" t="str">
        <f ca="1">IFERROR(VLOOKUP(C55,fnEquipLibRange,16,FALSE),"")</f>
        <v/>
      </c>
      <c r="F55" s="70"/>
      <c r="G55" s="131"/>
      <c r="H55" s="107" t="str">
        <f ca="1">IFERROR(VLOOKUP(C55,fnEquipLibRange,2,FALSE),"")</f>
        <v/>
      </c>
      <c r="I55" s="101" t="str">
        <f>IF(ISBLANK(G55),"",IF(G55&lt;VLOOKUP(C55,fnEquipLibRange,3,FALSE),"&gt;&gt;&gt; Too Small &lt;&lt;&lt;",IF(G55&gt;VLOOKUP(C55,fnEquipLibRange,4,FALSE),"&gt;&gt;&gt; Too Large &lt;&lt;&lt;","Yes")))</f>
        <v/>
      </c>
      <c r="J55" s="101"/>
      <c r="K55" s="102" t="str">
        <f>IF(F55*G55=0,"",IFERROR(IF(F55*G55*$D$31/$D$28&lt;VLOOKUP(C55,fnEquipLibRange,3,FALSE),MAX(1,F55),MAX(ROUNDUP(F55*G55*$D$31/$D$28/VLOOKUP(C55,fnEquipLibRange,4,FALSE),0),F55)),""))</f>
        <v/>
      </c>
      <c r="L55" s="103" t="str">
        <f>IF(F55*G55=0,"",IFERROR(IF(F55*G55*$D$31/$D$28&lt;VLOOKUP(C55,fnEquipLibRange,3,FALSE),VLOOKUP(C55,fnEquipLibRange,3,FALSE),F55*G55*$D$31/$D$28/MAX(ROUNDUP(F55*G55*$D$31/$D$28/VLOOKUP(C55,fnEquipLibRange,4,FALSE),0),F55)),""))</f>
        <v/>
      </c>
      <c r="M55" s="103"/>
      <c r="N55" s="104" t="str">
        <f>IF($K55="","",IFERROR($K55*fnEquipCostCorr*fnEquipCostIndex*fnEquipConstMaterial,""))</f>
        <v/>
      </c>
      <c r="O55" s="105" t="str">
        <f ca="1">IFERROR(fnEquipInstFactor*N55,"")</f>
        <v/>
      </c>
      <c r="P55" s="106" t="str">
        <f ca="1">IFERROR(fnEquipLaborFactor*K55,"")</f>
        <v/>
      </c>
      <c r="Q55" s="19"/>
      <c r="S55" s="95" t="str">
        <f t="shared" si="0"/>
        <v/>
      </c>
      <c r="T55" s="11" t="str">
        <f ca="1">IFERROR(IF(INDEX(fnEquipLibRange,fnEquipRowNum,39)="","",INDEX(fnEquipLibRange,fnEquipRowNum,39)),"")</f>
        <v/>
      </c>
    </row>
    <row r="56" spans="2:20" hidden="1" outlineLevel="1">
      <c r="B56" s="16"/>
      <c r="C56" s="69"/>
      <c r="D56" s="70"/>
      <c r="E56" s="70" t="str">
        <f ca="1">IFERROR(VLOOKUP(C56,fnEquipLibRange,16,FALSE),"")</f>
        <v/>
      </c>
      <c r="F56" s="70"/>
      <c r="G56" s="131"/>
      <c r="H56" s="107" t="str">
        <f ca="1">IFERROR(VLOOKUP(C56,fnEquipLibRange,2,FALSE),"")</f>
        <v/>
      </c>
      <c r="I56" s="101" t="str">
        <f>IF(ISBLANK(G56),"",IF(G56&lt;VLOOKUP(C56,fnEquipLibRange,3,FALSE),"&gt;&gt;&gt; Too Small &lt;&lt;&lt;",IF(G56&gt;VLOOKUP(C56,fnEquipLibRange,4,FALSE),"&gt;&gt;&gt; Too Large &lt;&lt;&lt;","Yes")))</f>
        <v/>
      </c>
      <c r="J56" s="101"/>
      <c r="K56" s="102" t="str">
        <f>IF(F56*G56=0,"",IFERROR(IF(F56*G56*$D$31/$D$28&lt;VLOOKUP(C56,fnEquipLibRange,3,FALSE),MAX(1,F56),MAX(ROUNDUP(F56*G56*$D$31/$D$28/VLOOKUP(C56,fnEquipLibRange,4,FALSE),0),F56)),""))</f>
        <v/>
      </c>
      <c r="L56" s="103" t="str">
        <f>IF(F56*G56=0,"",IFERROR(IF(F56*G56*$D$31/$D$28&lt;VLOOKUP(C56,fnEquipLibRange,3,FALSE),VLOOKUP(C56,fnEquipLibRange,3,FALSE),F56*G56*$D$31/$D$28/MAX(ROUNDUP(F56*G56*$D$31/$D$28/VLOOKUP(C56,fnEquipLibRange,4,FALSE),0),F56)),""))</f>
        <v/>
      </c>
      <c r="M56" s="103"/>
      <c r="N56" s="104" t="str">
        <f>IF($K56="","",IFERROR($K56*fnEquipCostCorr*fnEquipCostIndex*fnEquipConstMaterial,""))</f>
        <v/>
      </c>
      <c r="O56" s="105" t="str">
        <f ca="1">IFERROR(fnEquipInstFactor*N56,"")</f>
        <v/>
      </c>
      <c r="P56" s="106" t="str">
        <f ca="1">IFERROR(fnEquipLaborFactor*K56,"")</f>
        <v/>
      </c>
      <c r="Q56" s="19"/>
      <c r="S56" s="95" t="str">
        <f t="shared" si="0"/>
        <v/>
      </c>
      <c r="T56" s="11" t="str">
        <f ca="1">IFERROR(IF(INDEX(fnEquipLibRange,fnEquipRowNum,39)="","",INDEX(fnEquipLibRange,fnEquipRowNum,39)),"")</f>
        <v/>
      </c>
    </row>
    <row r="57" spans="2:20" hidden="1" outlineLevel="1">
      <c r="B57" s="16"/>
      <c r="C57" s="69"/>
      <c r="D57" s="70"/>
      <c r="E57" s="70" t="str">
        <f ca="1">IFERROR(VLOOKUP(C57,fnEquipLibRange,16,FALSE),"")</f>
        <v/>
      </c>
      <c r="F57" s="70"/>
      <c r="G57" s="131"/>
      <c r="H57" s="107" t="str">
        <f ca="1">IFERROR(VLOOKUP(C57,fnEquipLibRange,2,FALSE),"")</f>
        <v/>
      </c>
      <c r="I57" s="101" t="str">
        <f>IF(ISBLANK(G57),"",IF(G57&lt;VLOOKUP(C57,fnEquipLibRange,3,FALSE),"&gt;&gt;&gt; Too Small &lt;&lt;&lt;",IF(G57&gt;VLOOKUP(C57,fnEquipLibRange,4,FALSE),"&gt;&gt;&gt; Too Large &lt;&lt;&lt;","Yes")))</f>
        <v/>
      </c>
      <c r="J57" s="101"/>
      <c r="K57" s="102" t="str">
        <f>IF(F57*G57=0,"",IFERROR(IF(F57*G57*$D$31/$D$28&lt;VLOOKUP(C57,fnEquipLibRange,3,FALSE),MAX(1,F57),MAX(ROUNDUP(F57*G57*$D$31/$D$28/VLOOKUP(C57,fnEquipLibRange,4,FALSE),0),F57)),""))</f>
        <v/>
      </c>
      <c r="L57" s="103" t="str">
        <f>IF(F57*G57=0,"",IFERROR(IF(F57*G57*$D$31/$D$28&lt;VLOOKUP(C57,fnEquipLibRange,3,FALSE),VLOOKUP(C57,fnEquipLibRange,3,FALSE),F57*G57*$D$31/$D$28/MAX(ROUNDUP(F57*G57*$D$31/$D$28/VLOOKUP(C57,fnEquipLibRange,4,FALSE),0),F57)),""))</f>
        <v/>
      </c>
      <c r="M57" s="103"/>
      <c r="N57" s="104" t="str">
        <f>IF($K57="","",IFERROR($K57*fnEquipCostCorr*fnEquipCostIndex*fnEquipConstMaterial,""))</f>
        <v/>
      </c>
      <c r="O57" s="105" t="str">
        <f ca="1">IFERROR(fnEquipInstFactor*N57,"")</f>
        <v/>
      </c>
      <c r="P57" s="106" t="str">
        <f ca="1">IFERROR(fnEquipLaborFactor*K57,"")</f>
        <v/>
      </c>
      <c r="Q57" s="19"/>
      <c r="S57" s="95" t="str">
        <f t="shared" si="0"/>
        <v/>
      </c>
      <c r="T57" s="11" t="str">
        <f ca="1">IFERROR(IF(INDEX(fnEquipLibRange,fnEquipRowNum,39)="","",INDEX(fnEquipLibRange,fnEquipRowNum,39)),"")</f>
        <v/>
      </c>
    </row>
    <row r="58" spans="2:20" hidden="1" outlineLevel="1">
      <c r="B58" s="16"/>
      <c r="C58" s="69"/>
      <c r="D58" s="70"/>
      <c r="E58" s="70" t="str">
        <f ca="1">IFERROR(VLOOKUP(C58,fnEquipLibRange,16,FALSE),"")</f>
        <v/>
      </c>
      <c r="F58" s="70"/>
      <c r="G58" s="131"/>
      <c r="H58" s="107" t="str">
        <f ca="1">IFERROR(VLOOKUP(C58,fnEquipLibRange,2,FALSE),"")</f>
        <v/>
      </c>
      <c r="I58" s="101" t="str">
        <f>IF(ISBLANK(G58),"",IF(G58&lt;VLOOKUP(C58,fnEquipLibRange,3,FALSE),"&gt;&gt;&gt; Too Small &lt;&lt;&lt;",IF(G58&gt;VLOOKUP(C58,fnEquipLibRange,4,FALSE),"&gt;&gt;&gt; Too Large &lt;&lt;&lt;","Yes")))</f>
        <v/>
      </c>
      <c r="J58" s="101"/>
      <c r="K58" s="102" t="str">
        <f>IF(F58*G58=0,"",IFERROR(IF(F58*G58*$D$31/$D$28&lt;VLOOKUP(C58,fnEquipLibRange,3,FALSE),MAX(1,F58),MAX(ROUNDUP(F58*G58*$D$31/$D$28/VLOOKUP(C58,fnEquipLibRange,4,FALSE),0),F58)),""))</f>
        <v/>
      </c>
      <c r="L58" s="103" t="str">
        <f>IF(F58*G58=0,"",IFERROR(IF(F58*G58*$D$31/$D$28&lt;VLOOKUP(C58,fnEquipLibRange,3,FALSE),VLOOKUP(C58,fnEquipLibRange,3,FALSE),F58*G58*$D$31/$D$28/MAX(ROUNDUP(F58*G58*$D$31/$D$28/VLOOKUP(C58,fnEquipLibRange,4,FALSE),0),F58)),""))</f>
        <v/>
      </c>
      <c r="M58" s="103"/>
      <c r="N58" s="104" t="str">
        <f>IF($K58="","",IFERROR($K58*fnEquipCostCorr*fnEquipCostIndex*fnEquipConstMaterial,""))</f>
        <v/>
      </c>
      <c r="O58" s="105" t="str">
        <f ca="1">IFERROR(fnEquipInstFactor*N58,"")</f>
        <v/>
      </c>
      <c r="P58" s="106" t="str">
        <f ca="1">IFERROR(fnEquipLaborFactor*K58,"")</f>
        <v/>
      </c>
      <c r="Q58" s="19"/>
      <c r="S58" s="95" t="str">
        <f t="shared" si="0"/>
        <v/>
      </c>
      <c r="T58" s="11" t="str">
        <f ca="1">IFERROR(IF(INDEX(fnEquipLibRange,fnEquipRowNum,39)="","",INDEX(fnEquipLibRange,fnEquipRowNum,39)),"")</f>
        <v/>
      </c>
    </row>
    <row r="59" spans="2:20" hidden="1" outlineLevel="1">
      <c r="B59" s="16"/>
      <c r="C59" s="69"/>
      <c r="D59" s="70"/>
      <c r="E59" s="70" t="str">
        <f ca="1">IFERROR(VLOOKUP(C59,fnEquipLibRange,16,FALSE),"")</f>
        <v/>
      </c>
      <c r="F59" s="70"/>
      <c r="G59" s="131"/>
      <c r="H59" s="107" t="str">
        <f ca="1">IFERROR(VLOOKUP(C59,fnEquipLibRange,2,FALSE),"")</f>
        <v/>
      </c>
      <c r="I59" s="101" t="str">
        <f>IF(ISBLANK(G59),"",IF(G59&lt;VLOOKUP(C59,fnEquipLibRange,3,FALSE),"&gt;&gt;&gt; Too Small &lt;&lt;&lt;",IF(G59&gt;VLOOKUP(C59,fnEquipLibRange,4,FALSE),"&gt;&gt;&gt; Too Large &lt;&lt;&lt;","Yes")))</f>
        <v/>
      </c>
      <c r="J59" s="101"/>
      <c r="K59" s="102" t="str">
        <f>IF(F59*G59=0,"",IFERROR(IF(F59*G59*$D$31/$D$28&lt;VLOOKUP(C59,fnEquipLibRange,3,FALSE),MAX(1,F59),MAX(ROUNDUP(F59*G59*$D$31/$D$28/VLOOKUP(C59,fnEquipLibRange,4,FALSE),0),F59)),""))</f>
        <v/>
      </c>
      <c r="L59" s="103" t="str">
        <f>IF(F59*G59=0,"",IFERROR(IF(F59*G59*$D$31/$D$28&lt;VLOOKUP(C59,fnEquipLibRange,3,FALSE),VLOOKUP(C59,fnEquipLibRange,3,FALSE),F59*G59*$D$31/$D$28/MAX(ROUNDUP(F59*G59*$D$31/$D$28/VLOOKUP(C59,fnEquipLibRange,4,FALSE),0),F59)),""))</f>
        <v/>
      </c>
      <c r="M59" s="103"/>
      <c r="N59" s="104" t="str">
        <f>IF($K59="","",IFERROR($K59*fnEquipCostCorr*fnEquipCostIndex*fnEquipConstMaterial,""))</f>
        <v/>
      </c>
      <c r="O59" s="105" t="str">
        <f ca="1">IFERROR(fnEquipInstFactor*N59,"")</f>
        <v/>
      </c>
      <c r="P59" s="106" t="str">
        <f ca="1">IFERROR(fnEquipLaborFactor*K59,"")</f>
        <v/>
      </c>
      <c r="Q59" s="19"/>
      <c r="S59" s="95" t="str">
        <f t="shared" si="0"/>
        <v/>
      </c>
      <c r="T59" s="11" t="str">
        <f ca="1">IFERROR(IF(INDEX(fnEquipLibRange,fnEquipRowNum,39)="","",INDEX(fnEquipLibRange,fnEquipRowNum,39)),"")</f>
        <v/>
      </c>
    </row>
    <row r="60" spans="2:20" hidden="1" outlineLevel="1">
      <c r="B60" s="16"/>
      <c r="C60" s="69"/>
      <c r="D60" s="70"/>
      <c r="E60" s="70" t="str">
        <f ca="1">IFERROR(VLOOKUP(C60,fnEquipLibRange,16,FALSE),"")</f>
        <v/>
      </c>
      <c r="F60" s="70"/>
      <c r="G60" s="131"/>
      <c r="H60" s="107" t="str">
        <f ca="1">IFERROR(VLOOKUP(C60,fnEquipLibRange,2,FALSE),"")</f>
        <v/>
      </c>
      <c r="I60" s="101" t="str">
        <f>IF(ISBLANK(G60),"",IF(G60&lt;VLOOKUP(C60,fnEquipLibRange,3,FALSE),"&gt;&gt;&gt; Too Small &lt;&lt;&lt;",IF(G60&gt;VLOOKUP(C60,fnEquipLibRange,4,FALSE),"&gt;&gt;&gt; Too Large &lt;&lt;&lt;","Yes")))</f>
        <v/>
      </c>
      <c r="J60" s="101"/>
      <c r="K60" s="102" t="str">
        <f>IF(F60*G60=0,"",IFERROR(IF(F60*G60*$D$31/$D$28&lt;VLOOKUP(C60,fnEquipLibRange,3,FALSE),MAX(1,F60),MAX(ROUNDUP(F60*G60*$D$31/$D$28/VLOOKUP(C60,fnEquipLibRange,4,FALSE),0),F60)),""))</f>
        <v/>
      </c>
      <c r="L60" s="103" t="str">
        <f>IF(F60*G60=0,"",IFERROR(IF(F60*G60*$D$31/$D$28&lt;VLOOKUP(C60,fnEquipLibRange,3,FALSE),VLOOKUP(C60,fnEquipLibRange,3,FALSE),F60*G60*$D$31/$D$28/MAX(ROUNDUP(F60*G60*$D$31/$D$28/VLOOKUP(C60,fnEquipLibRange,4,FALSE),0),F60)),""))</f>
        <v/>
      </c>
      <c r="M60" s="103"/>
      <c r="N60" s="104" t="str">
        <f>IF($K60="","",IFERROR($K60*fnEquipCostCorr*fnEquipCostIndex*fnEquipConstMaterial,""))</f>
        <v/>
      </c>
      <c r="O60" s="105" t="str">
        <f ca="1">IFERROR(fnEquipInstFactor*N60,"")</f>
        <v/>
      </c>
      <c r="P60" s="106" t="str">
        <f ca="1">IFERROR(fnEquipLaborFactor*K60,"")</f>
        <v/>
      </c>
      <c r="Q60" s="19"/>
      <c r="S60" s="95" t="str">
        <f t="shared" si="0"/>
        <v/>
      </c>
      <c r="T60" s="11" t="str">
        <f ca="1">IFERROR(IF(INDEX(fnEquipLibRange,fnEquipRowNum,39)="","",INDEX(fnEquipLibRange,fnEquipRowNum,39)),"")</f>
        <v/>
      </c>
    </row>
    <row r="61" spans="2:20" hidden="1" outlineLevel="1">
      <c r="B61" s="16"/>
      <c r="C61" s="69"/>
      <c r="D61" s="70"/>
      <c r="E61" s="70" t="str">
        <f ca="1">IFERROR(VLOOKUP(C61,fnEquipLibRange,16,FALSE),"")</f>
        <v/>
      </c>
      <c r="F61" s="70"/>
      <c r="G61" s="131"/>
      <c r="H61" s="107" t="str">
        <f ca="1">IFERROR(VLOOKUP(C61,fnEquipLibRange,2,FALSE),"")</f>
        <v/>
      </c>
      <c r="I61" s="101" t="str">
        <f>IF(ISBLANK(G61),"",IF(G61&lt;VLOOKUP(C61,fnEquipLibRange,3,FALSE),"&gt;&gt;&gt; Too Small &lt;&lt;&lt;",IF(G61&gt;VLOOKUP(C61,fnEquipLibRange,4,FALSE),"&gt;&gt;&gt; Too Large &lt;&lt;&lt;","Yes")))</f>
        <v/>
      </c>
      <c r="J61" s="101"/>
      <c r="K61" s="102" t="str">
        <f>IF(F61*G61=0,"",IFERROR(IF(F61*G61*$D$31/$D$28&lt;VLOOKUP(C61,fnEquipLibRange,3,FALSE),MAX(1,F61),MAX(ROUNDUP(F61*G61*$D$31/$D$28/VLOOKUP(C61,fnEquipLibRange,4,FALSE),0),F61)),""))</f>
        <v/>
      </c>
      <c r="L61" s="103" t="str">
        <f>IF(F61*G61=0,"",IFERROR(IF(F61*G61*$D$31/$D$28&lt;VLOOKUP(C61,fnEquipLibRange,3,FALSE),VLOOKUP(C61,fnEquipLibRange,3,FALSE),F61*G61*$D$31/$D$28/MAX(ROUNDUP(F61*G61*$D$31/$D$28/VLOOKUP(C61,fnEquipLibRange,4,FALSE),0),F61)),""))</f>
        <v/>
      </c>
      <c r="M61" s="103"/>
      <c r="N61" s="104" t="str">
        <f>IF($K61="","",IFERROR($K61*fnEquipCostCorr*fnEquipCostIndex*fnEquipConstMaterial,""))</f>
        <v/>
      </c>
      <c r="O61" s="105" t="str">
        <f ca="1">IFERROR(fnEquipInstFactor*N61,"")</f>
        <v/>
      </c>
      <c r="P61" s="106" t="str">
        <f ca="1">IFERROR(fnEquipLaborFactor*K61,"")</f>
        <v/>
      </c>
      <c r="Q61" s="19"/>
      <c r="S61" s="95" t="str">
        <f t="shared" si="0"/>
        <v/>
      </c>
      <c r="T61" s="11" t="str">
        <f ca="1">IFERROR(IF(INDEX(fnEquipLibRange,fnEquipRowNum,39)="","",INDEX(fnEquipLibRange,fnEquipRowNum,39)),"")</f>
        <v/>
      </c>
    </row>
    <row r="62" spans="2:20" hidden="1" outlineLevel="1">
      <c r="B62" s="16"/>
      <c r="C62" s="69"/>
      <c r="D62" s="70"/>
      <c r="E62" s="70" t="str">
        <f ca="1">IFERROR(VLOOKUP(C62,fnEquipLibRange,16,FALSE),"")</f>
        <v/>
      </c>
      <c r="F62" s="70"/>
      <c r="G62" s="131"/>
      <c r="H62" s="107" t="str">
        <f ca="1">IFERROR(VLOOKUP(C62,fnEquipLibRange,2,FALSE),"")</f>
        <v/>
      </c>
      <c r="I62" s="101" t="str">
        <f>IF(ISBLANK(G62),"",IF(G62&lt;VLOOKUP(C62,fnEquipLibRange,3,FALSE),"&gt;&gt;&gt; Too Small &lt;&lt;&lt;",IF(G62&gt;VLOOKUP(C62,fnEquipLibRange,4,FALSE),"&gt;&gt;&gt; Too Large &lt;&lt;&lt;","Yes")))</f>
        <v/>
      </c>
      <c r="J62" s="101"/>
      <c r="K62" s="102" t="str">
        <f>IF(F62*G62=0,"",IFERROR(IF(F62*G62*$D$31/$D$28&lt;VLOOKUP(C62,fnEquipLibRange,3,FALSE),MAX(1,F62),MAX(ROUNDUP(F62*G62*$D$31/$D$28/VLOOKUP(C62,fnEquipLibRange,4,FALSE),0),F62)),""))</f>
        <v/>
      </c>
      <c r="L62" s="103" t="str">
        <f>IF(F62*G62=0,"",IFERROR(IF(F62*G62*$D$31/$D$28&lt;VLOOKUP(C62,fnEquipLibRange,3,FALSE),VLOOKUP(C62,fnEquipLibRange,3,FALSE),F62*G62*$D$31/$D$28/MAX(ROUNDUP(F62*G62*$D$31/$D$28/VLOOKUP(C62,fnEquipLibRange,4,FALSE),0),F62)),""))</f>
        <v/>
      </c>
      <c r="M62" s="103"/>
      <c r="N62" s="104" t="str">
        <f>IF($K62="","",IFERROR($K62*fnEquipCostCorr*fnEquipCostIndex*fnEquipConstMaterial,""))</f>
        <v/>
      </c>
      <c r="O62" s="105" t="str">
        <f ca="1">IFERROR(fnEquipInstFactor*N62,"")</f>
        <v/>
      </c>
      <c r="P62" s="106" t="str">
        <f ca="1">IFERROR(fnEquipLaborFactor*K62,"")</f>
        <v/>
      </c>
      <c r="Q62" s="19"/>
      <c r="S62" s="95" t="str">
        <f t="shared" si="0"/>
        <v/>
      </c>
      <c r="T62" s="11" t="str">
        <f ca="1">IFERROR(IF(INDEX(fnEquipLibRange,fnEquipRowNum,39)="","",INDEX(fnEquipLibRange,fnEquipRowNum,39)),"")</f>
        <v/>
      </c>
    </row>
    <row r="63" spans="2:20" hidden="1" outlineLevel="1">
      <c r="B63" s="16"/>
      <c r="C63" s="69"/>
      <c r="D63" s="70"/>
      <c r="E63" s="70" t="str">
        <f ca="1">IFERROR(VLOOKUP(C63,fnEquipLibRange,16,FALSE),"")</f>
        <v/>
      </c>
      <c r="F63" s="70"/>
      <c r="G63" s="131"/>
      <c r="H63" s="107" t="str">
        <f ca="1">IFERROR(VLOOKUP(C63,fnEquipLibRange,2,FALSE),"")</f>
        <v/>
      </c>
      <c r="I63" s="101" t="str">
        <f>IF(ISBLANK(G63),"",IF(G63&lt;VLOOKUP(C63,fnEquipLibRange,3,FALSE),"&gt;&gt;&gt; Too Small &lt;&lt;&lt;",IF(G63&gt;VLOOKUP(C63,fnEquipLibRange,4,FALSE),"&gt;&gt;&gt; Too Large &lt;&lt;&lt;","Yes")))</f>
        <v/>
      </c>
      <c r="J63" s="101"/>
      <c r="K63" s="102" t="str">
        <f>IF(F63*G63=0,"",IFERROR(IF(F63*G63*$D$31/$D$28&lt;VLOOKUP(C63,fnEquipLibRange,3,FALSE),MAX(1,F63),MAX(ROUNDUP(F63*G63*$D$31/$D$28/VLOOKUP(C63,fnEquipLibRange,4,FALSE),0),F63)),""))</f>
        <v/>
      </c>
      <c r="L63" s="103" t="str">
        <f>IF(F63*G63=0,"",IFERROR(IF(F63*G63*$D$31/$D$28&lt;VLOOKUP(C63,fnEquipLibRange,3,FALSE),VLOOKUP(C63,fnEquipLibRange,3,FALSE),F63*G63*$D$31/$D$28/MAX(ROUNDUP(F63*G63*$D$31/$D$28/VLOOKUP(C63,fnEquipLibRange,4,FALSE),0),F63)),""))</f>
        <v/>
      </c>
      <c r="M63" s="103"/>
      <c r="N63" s="104" t="str">
        <f>IF($K63="","",IFERROR($K63*fnEquipCostCorr*fnEquipCostIndex*fnEquipConstMaterial,""))</f>
        <v/>
      </c>
      <c r="O63" s="105" t="str">
        <f ca="1">IFERROR(fnEquipInstFactor*N63,"")</f>
        <v/>
      </c>
      <c r="P63" s="106" t="str">
        <f ca="1">IFERROR(fnEquipLaborFactor*K63,"")</f>
        <v/>
      </c>
      <c r="Q63" s="19"/>
      <c r="S63" s="95" t="str">
        <f t="shared" si="0"/>
        <v/>
      </c>
      <c r="T63" s="11" t="str">
        <f ca="1">IFERROR(IF(INDEX(fnEquipLibRange,fnEquipRowNum,39)="","",INDEX(fnEquipLibRange,fnEquipRowNum,39)),"")</f>
        <v/>
      </c>
    </row>
    <row r="64" spans="2:20" hidden="1" outlineLevel="1">
      <c r="B64" s="16"/>
      <c r="C64" s="69"/>
      <c r="D64" s="70"/>
      <c r="E64" s="70" t="str">
        <f ca="1">IFERROR(VLOOKUP(C64,fnEquipLibRange,16,FALSE),"")</f>
        <v/>
      </c>
      <c r="F64" s="70"/>
      <c r="G64" s="131"/>
      <c r="H64" s="107" t="str">
        <f ca="1">IFERROR(VLOOKUP(C64,fnEquipLibRange,2,FALSE),"")</f>
        <v/>
      </c>
      <c r="I64" s="101" t="str">
        <f>IF(ISBLANK(G64),"",IF(G64&lt;VLOOKUP(C64,fnEquipLibRange,3,FALSE),"&gt;&gt;&gt; Too Small &lt;&lt;&lt;",IF(G64&gt;VLOOKUP(C64,fnEquipLibRange,4,FALSE),"&gt;&gt;&gt; Too Large &lt;&lt;&lt;","Yes")))</f>
        <v/>
      </c>
      <c r="J64" s="101"/>
      <c r="K64" s="102" t="str">
        <f>IF(F64*G64=0,"",IFERROR(IF(F64*G64*$D$31/$D$28&lt;VLOOKUP(C64,fnEquipLibRange,3,FALSE),MAX(1,F64),MAX(ROUNDUP(F64*G64*$D$31/$D$28/VLOOKUP(C64,fnEquipLibRange,4,FALSE),0),F64)),""))</f>
        <v/>
      </c>
      <c r="L64" s="103" t="str">
        <f>IF(F64*G64=0,"",IFERROR(IF(F64*G64*$D$31/$D$28&lt;VLOOKUP(C64,fnEquipLibRange,3,FALSE),VLOOKUP(C64,fnEquipLibRange,3,FALSE),F64*G64*$D$31/$D$28/MAX(ROUNDUP(F64*G64*$D$31/$D$28/VLOOKUP(C64,fnEquipLibRange,4,FALSE),0),F64)),""))</f>
        <v/>
      </c>
      <c r="M64" s="103"/>
      <c r="N64" s="104" t="str">
        <f>IF($K64="","",IFERROR($K64*fnEquipCostCorr*fnEquipCostIndex*fnEquipConstMaterial,""))</f>
        <v/>
      </c>
      <c r="O64" s="105" t="str">
        <f ca="1">IFERROR(fnEquipInstFactor*N64,"")</f>
        <v/>
      </c>
      <c r="P64" s="106" t="str">
        <f ca="1">IFERROR(fnEquipLaborFactor*K64,"")</f>
        <v/>
      </c>
      <c r="Q64" s="19"/>
      <c r="S64" s="95" t="str">
        <f t="shared" si="0"/>
        <v/>
      </c>
      <c r="T64" s="11" t="str">
        <f ca="1">IFERROR(IF(INDEX(fnEquipLibRange,fnEquipRowNum,39)="","",INDEX(fnEquipLibRange,fnEquipRowNum,39)),"")</f>
        <v/>
      </c>
    </row>
    <row r="65" spans="2:20" hidden="1" outlineLevel="1">
      <c r="B65" s="16"/>
      <c r="C65" s="69"/>
      <c r="D65" s="70"/>
      <c r="E65" s="70" t="str">
        <f ca="1">IFERROR(VLOOKUP(C65,fnEquipLibRange,16,FALSE),"")</f>
        <v/>
      </c>
      <c r="F65" s="70"/>
      <c r="G65" s="131"/>
      <c r="H65" s="107" t="str">
        <f ca="1">IFERROR(VLOOKUP(C65,fnEquipLibRange,2,FALSE),"")</f>
        <v/>
      </c>
      <c r="I65" s="101" t="str">
        <f>IF(ISBLANK(G65),"",IF(G65&lt;VLOOKUP(C65,fnEquipLibRange,3,FALSE),"&gt;&gt;&gt; Too Small &lt;&lt;&lt;",IF(G65&gt;VLOOKUP(C65,fnEquipLibRange,4,FALSE),"&gt;&gt;&gt; Too Large &lt;&lt;&lt;","Yes")))</f>
        <v/>
      </c>
      <c r="J65" s="101"/>
      <c r="K65" s="102" t="str">
        <f>IF(F65*G65=0,"",IFERROR(IF(F65*G65*$D$31/$D$28&lt;VLOOKUP(C65,fnEquipLibRange,3,FALSE),MAX(1,F65),MAX(ROUNDUP(F65*G65*$D$31/$D$28/VLOOKUP(C65,fnEquipLibRange,4,FALSE),0),F65)),""))</f>
        <v/>
      </c>
      <c r="L65" s="103" t="str">
        <f>IF(F65*G65=0,"",IFERROR(IF(F65*G65*$D$31/$D$28&lt;VLOOKUP(C65,fnEquipLibRange,3,FALSE),VLOOKUP(C65,fnEquipLibRange,3,FALSE),F65*G65*$D$31/$D$28/MAX(ROUNDUP(F65*G65*$D$31/$D$28/VLOOKUP(C65,fnEquipLibRange,4,FALSE),0),F65)),""))</f>
        <v/>
      </c>
      <c r="M65" s="103"/>
      <c r="N65" s="104" t="str">
        <f>IF($K65="","",IFERROR($K65*fnEquipCostCorr*fnEquipCostIndex*fnEquipConstMaterial,""))</f>
        <v/>
      </c>
      <c r="O65" s="105" t="str">
        <f ca="1">IFERROR(fnEquipInstFactor*N65,"")</f>
        <v/>
      </c>
      <c r="P65" s="106" t="str">
        <f ca="1">IFERROR(fnEquipLaborFactor*K65,"")</f>
        <v/>
      </c>
      <c r="Q65" s="19"/>
      <c r="S65" s="95" t="str">
        <f t="shared" si="0"/>
        <v/>
      </c>
      <c r="T65" s="11" t="str">
        <f ca="1">IFERROR(IF(INDEX(fnEquipLibRange,fnEquipRowNum,39)="","",INDEX(fnEquipLibRange,fnEquipRowNum,39)),"")</f>
        <v/>
      </c>
    </row>
    <row r="66" spans="2:20" hidden="1" outlineLevel="1">
      <c r="B66" s="16"/>
      <c r="C66" s="69"/>
      <c r="D66" s="70"/>
      <c r="E66" s="70" t="str">
        <f ca="1">IFERROR(VLOOKUP(C66,fnEquipLibRange,16,FALSE),"")</f>
        <v/>
      </c>
      <c r="F66" s="70"/>
      <c r="G66" s="131"/>
      <c r="H66" s="107" t="str">
        <f ca="1">IFERROR(VLOOKUP(C66,fnEquipLibRange,2,FALSE),"")</f>
        <v/>
      </c>
      <c r="I66" s="101" t="str">
        <f>IF(ISBLANK(G66),"",IF(G66&lt;VLOOKUP(C66,fnEquipLibRange,3,FALSE),"&gt;&gt;&gt; Too Small &lt;&lt;&lt;",IF(G66&gt;VLOOKUP(C66,fnEquipLibRange,4,FALSE),"&gt;&gt;&gt; Too Large &lt;&lt;&lt;","Yes")))</f>
        <v/>
      </c>
      <c r="J66" s="101"/>
      <c r="K66" s="102" t="str">
        <f>IF(F66*G66=0,"",IFERROR(IF(F66*G66*$D$31/$D$28&lt;VLOOKUP(C66,fnEquipLibRange,3,FALSE),MAX(1,F66),MAX(ROUNDUP(F66*G66*$D$31/$D$28/VLOOKUP(C66,fnEquipLibRange,4,FALSE),0),F66)),""))</f>
        <v/>
      </c>
      <c r="L66" s="103" t="str">
        <f>IF(F66*G66=0,"",IFERROR(IF(F66*G66*$D$31/$D$28&lt;VLOOKUP(C66,fnEquipLibRange,3,FALSE),VLOOKUP(C66,fnEquipLibRange,3,FALSE),F66*G66*$D$31/$D$28/MAX(ROUNDUP(F66*G66*$D$31/$D$28/VLOOKUP(C66,fnEquipLibRange,4,FALSE),0),F66)),""))</f>
        <v/>
      </c>
      <c r="M66" s="103"/>
      <c r="N66" s="104" t="str">
        <f>IF($K66="","",IFERROR($K66*fnEquipCostCorr*fnEquipCostIndex*fnEquipConstMaterial,""))</f>
        <v/>
      </c>
      <c r="O66" s="105" t="str">
        <f ca="1">IFERROR(fnEquipInstFactor*N66,"")</f>
        <v/>
      </c>
      <c r="P66" s="106" t="str">
        <f ca="1">IFERROR(fnEquipLaborFactor*K66,"")</f>
        <v/>
      </c>
      <c r="Q66" s="19"/>
      <c r="S66" s="95" t="str">
        <f t="shared" si="0"/>
        <v/>
      </c>
      <c r="T66" s="11" t="str">
        <f ca="1">IFERROR(IF(INDEX(fnEquipLibRange,fnEquipRowNum,39)="","",INDEX(fnEquipLibRange,fnEquipRowNum,39)),"")</f>
        <v/>
      </c>
    </row>
    <row r="67" spans="2:20" hidden="1" outlineLevel="1">
      <c r="B67" s="16"/>
      <c r="C67" s="69"/>
      <c r="D67" s="70"/>
      <c r="E67" s="70" t="str">
        <f ca="1">IFERROR(VLOOKUP(C67,fnEquipLibRange,16,FALSE),"")</f>
        <v/>
      </c>
      <c r="F67" s="70"/>
      <c r="G67" s="131"/>
      <c r="H67" s="107" t="str">
        <f ca="1">IFERROR(VLOOKUP(C67,fnEquipLibRange,2,FALSE),"")</f>
        <v/>
      </c>
      <c r="I67" s="101" t="str">
        <f>IF(ISBLANK(G67),"",IF(G67&lt;VLOOKUP(C67,fnEquipLibRange,3,FALSE),"&gt;&gt;&gt; Too Small &lt;&lt;&lt;",IF(G67&gt;VLOOKUP(C67,fnEquipLibRange,4,FALSE),"&gt;&gt;&gt; Too Large &lt;&lt;&lt;","Yes")))</f>
        <v/>
      </c>
      <c r="J67" s="101"/>
      <c r="K67" s="102" t="str">
        <f>IF(F67*G67=0,"",IFERROR(IF(F67*G67*$D$31/$D$28&lt;VLOOKUP(C67,fnEquipLibRange,3,FALSE),MAX(1,F67),MAX(ROUNDUP(F67*G67*$D$31/$D$28/VLOOKUP(C67,fnEquipLibRange,4,FALSE),0),F67)),""))</f>
        <v/>
      </c>
      <c r="L67" s="103" t="str">
        <f>IF(F67*G67=0,"",IFERROR(IF(F67*G67*$D$31/$D$28&lt;VLOOKUP(C67,fnEquipLibRange,3,FALSE),VLOOKUP(C67,fnEquipLibRange,3,FALSE),F67*G67*$D$31/$D$28/MAX(ROUNDUP(F67*G67*$D$31/$D$28/VLOOKUP(C67,fnEquipLibRange,4,FALSE),0),F67)),""))</f>
        <v/>
      </c>
      <c r="M67" s="103"/>
      <c r="N67" s="104" t="str">
        <f>IF($K67="","",IFERROR($K67*fnEquipCostCorr*fnEquipCostIndex*fnEquipConstMaterial,""))</f>
        <v/>
      </c>
      <c r="O67" s="105" t="str">
        <f ca="1">IFERROR(fnEquipInstFactor*N67,"")</f>
        <v/>
      </c>
      <c r="P67" s="106" t="str">
        <f ca="1">IFERROR(fnEquipLaborFactor*K67,"")</f>
        <v/>
      </c>
      <c r="Q67" s="19"/>
      <c r="S67" s="95" t="str">
        <f t="shared" si="0"/>
        <v/>
      </c>
      <c r="T67" s="11" t="str">
        <f ca="1">IFERROR(IF(INDEX(fnEquipLibRange,fnEquipRowNum,39)="","",INDEX(fnEquipLibRange,fnEquipRowNum,39)),"")</f>
        <v/>
      </c>
    </row>
    <row r="68" spans="2:20" hidden="1" outlineLevel="1">
      <c r="B68" s="16"/>
      <c r="C68" s="69"/>
      <c r="D68" s="70"/>
      <c r="E68" s="70" t="str">
        <f ca="1">IFERROR(VLOOKUP(C68,fnEquipLibRange,16,FALSE),"")</f>
        <v/>
      </c>
      <c r="F68" s="70"/>
      <c r="G68" s="131"/>
      <c r="H68" s="107" t="str">
        <f ca="1">IFERROR(VLOOKUP(C68,fnEquipLibRange,2,FALSE),"")</f>
        <v/>
      </c>
      <c r="I68" s="101" t="str">
        <f>IF(ISBLANK(G68),"",IF(G68&lt;VLOOKUP(C68,fnEquipLibRange,3,FALSE),"&gt;&gt;&gt; Too Small &lt;&lt;&lt;",IF(G68&gt;VLOOKUP(C68,fnEquipLibRange,4,FALSE),"&gt;&gt;&gt; Too Large &lt;&lt;&lt;","Yes")))</f>
        <v/>
      </c>
      <c r="J68" s="101"/>
      <c r="K68" s="102" t="str">
        <f>IF(F68*G68=0,"",IFERROR(IF(F68*G68*$D$31/$D$28&lt;VLOOKUP(C68,fnEquipLibRange,3,FALSE),MAX(1,F68),MAX(ROUNDUP(F68*G68*$D$31/$D$28/VLOOKUP(C68,fnEquipLibRange,4,FALSE),0),F68)),""))</f>
        <v/>
      </c>
      <c r="L68" s="103" t="str">
        <f>IF(F68*G68=0,"",IFERROR(IF(F68*G68*$D$31/$D$28&lt;VLOOKUP(C68,fnEquipLibRange,3,FALSE),VLOOKUP(C68,fnEquipLibRange,3,FALSE),F68*G68*$D$31/$D$28/MAX(ROUNDUP(F68*G68*$D$31/$D$28/VLOOKUP(C68,fnEquipLibRange,4,FALSE),0),F68)),""))</f>
        <v/>
      </c>
      <c r="M68" s="103"/>
      <c r="N68" s="104" t="str">
        <f>IF($K68="","",IFERROR($K68*fnEquipCostCorr*fnEquipCostIndex*fnEquipConstMaterial,""))</f>
        <v/>
      </c>
      <c r="O68" s="105" t="str">
        <f ca="1">IFERROR(fnEquipInstFactor*N68,"")</f>
        <v/>
      </c>
      <c r="P68" s="106" t="str">
        <f ca="1">IFERROR(fnEquipLaborFactor*K68,"")</f>
        <v/>
      </c>
      <c r="Q68" s="19"/>
      <c r="S68" s="95" t="str">
        <f t="shared" si="0"/>
        <v/>
      </c>
      <c r="T68" s="11" t="str">
        <f ca="1">IFERROR(IF(INDEX(fnEquipLibRange,fnEquipRowNum,39)="","",INDEX(fnEquipLibRange,fnEquipRowNum,39)),"")</f>
        <v/>
      </c>
    </row>
    <row r="69" spans="2:20" hidden="1" outlineLevel="1">
      <c r="B69" s="16"/>
      <c r="C69" s="69"/>
      <c r="D69" s="70"/>
      <c r="E69" s="70" t="str">
        <f ca="1">IFERROR(VLOOKUP(C69,fnEquipLibRange,16,FALSE),"")</f>
        <v/>
      </c>
      <c r="F69" s="70"/>
      <c r="G69" s="131"/>
      <c r="H69" s="107" t="str">
        <f ca="1">IFERROR(VLOOKUP(C69,fnEquipLibRange,2,FALSE),"")</f>
        <v/>
      </c>
      <c r="I69" s="101" t="str">
        <f>IF(ISBLANK(G69),"",IF(G69&lt;VLOOKUP(C69,fnEquipLibRange,3,FALSE),"&gt;&gt;&gt; Too Small &lt;&lt;&lt;",IF(G69&gt;VLOOKUP(C69,fnEquipLibRange,4,FALSE),"&gt;&gt;&gt; Too Large &lt;&lt;&lt;","Yes")))</f>
        <v/>
      </c>
      <c r="J69" s="101"/>
      <c r="K69" s="102" t="str">
        <f>IF(F69*G69=0,"",IFERROR(IF(F69*G69*$D$31/$D$28&lt;VLOOKUP(C69,fnEquipLibRange,3,FALSE),MAX(1,F69),MAX(ROUNDUP(F69*G69*$D$31/$D$28/VLOOKUP(C69,fnEquipLibRange,4,FALSE),0),F69)),""))</f>
        <v/>
      </c>
      <c r="L69" s="103" t="str">
        <f>IF(F69*G69=0,"",IFERROR(IF(F69*G69*$D$31/$D$28&lt;VLOOKUP(C69,fnEquipLibRange,3,FALSE),VLOOKUP(C69,fnEquipLibRange,3,FALSE),F69*G69*$D$31/$D$28/MAX(ROUNDUP(F69*G69*$D$31/$D$28/VLOOKUP(C69,fnEquipLibRange,4,FALSE),0),F69)),""))</f>
        <v/>
      </c>
      <c r="M69" s="103"/>
      <c r="N69" s="104" t="str">
        <f>IF($K69="","",IFERROR($K69*fnEquipCostCorr*fnEquipCostIndex*fnEquipConstMaterial,""))</f>
        <v/>
      </c>
      <c r="O69" s="105" t="str">
        <f ca="1">IFERROR(fnEquipInstFactor*N69,"")</f>
        <v/>
      </c>
      <c r="P69" s="106" t="str">
        <f ca="1">IFERROR(fnEquipLaborFactor*K69,"")</f>
        <v/>
      </c>
      <c r="Q69" s="19"/>
      <c r="S69" s="95" t="str">
        <f t="shared" si="0"/>
        <v/>
      </c>
      <c r="T69" s="11" t="str">
        <f ca="1">IFERROR(IF(INDEX(fnEquipLibRange,fnEquipRowNum,39)="","",INDEX(fnEquipLibRange,fnEquipRowNum,39)),"")</f>
        <v/>
      </c>
    </row>
    <row r="70" spans="2:20" hidden="1" outlineLevel="1">
      <c r="B70" s="16"/>
      <c r="C70" s="69"/>
      <c r="D70" s="70"/>
      <c r="E70" s="70" t="str">
        <f ca="1">IFERROR(VLOOKUP(C70,fnEquipLibRange,16,FALSE),"")</f>
        <v/>
      </c>
      <c r="F70" s="70"/>
      <c r="G70" s="131"/>
      <c r="H70" s="107" t="str">
        <f ca="1">IFERROR(VLOOKUP(C70,fnEquipLibRange,2,FALSE),"")</f>
        <v/>
      </c>
      <c r="I70" s="101" t="str">
        <f>IF(ISBLANK(G70),"",IF(G70&lt;VLOOKUP(C70,fnEquipLibRange,3,FALSE),"&gt;&gt;&gt; Too Small &lt;&lt;&lt;",IF(G70&gt;VLOOKUP(C70,fnEquipLibRange,4,FALSE),"&gt;&gt;&gt; Too Large &lt;&lt;&lt;","Yes")))</f>
        <v/>
      </c>
      <c r="J70" s="101"/>
      <c r="K70" s="102" t="str">
        <f>IF(F70*G70=0,"",IFERROR(IF(F70*G70*$D$31/$D$28&lt;VLOOKUP(C70,fnEquipLibRange,3,FALSE),MAX(1,F70),MAX(ROUNDUP(F70*G70*$D$31/$D$28/VLOOKUP(C70,fnEquipLibRange,4,FALSE),0),F70)),""))</f>
        <v/>
      </c>
      <c r="L70" s="103" t="str">
        <f>IF(F70*G70=0,"",IFERROR(IF(F70*G70*$D$31/$D$28&lt;VLOOKUP(C70,fnEquipLibRange,3,FALSE),VLOOKUP(C70,fnEquipLibRange,3,FALSE),F70*G70*$D$31/$D$28/MAX(ROUNDUP(F70*G70*$D$31/$D$28/VLOOKUP(C70,fnEquipLibRange,4,FALSE),0),F70)),""))</f>
        <v/>
      </c>
      <c r="M70" s="103"/>
      <c r="N70" s="104" t="str">
        <f>IF($K70="","",IFERROR($K70*fnEquipCostCorr*fnEquipCostIndex*fnEquipConstMaterial,""))</f>
        <v/>
      </c>
      <c r="O70" s="105" t="str">
        <f ca="1">IFERROR(fnEquipInstFactor*N70,"")</f>
        <v/>
      </c>
      <c r="P70" s="106" t="str">
        <f ca="1">IFERROR(fnEquipLaborFactor*K70,"")</f>
        <v/>
      </c>
      <c r="Q70" s="19"/>
      <c r="S70" s="95" t="str">
        <f t="shared" si="0"/>
        <v/>
      </c>
      <c r="T70" s="11" t="str">
        <f ca="1">IFERROR(IF(INDEX(fnEquipLibRange,fnEquipRowNum,39)="","",INDEX(fnEquipLibRange,fnEquipRowNum,39)),"")</f>
        <v/>
      </c>
    </row>
    <row r="71" spans="2:20" hidden="1" outlineLevel="1">
      <c r="B71" s="16"/>
      <c r="C71" s="69"/>
      <c r="D71" s="70"/>
      <c r="E71" s="70" t="str">
        <f ca="1">IFERROR(VLOOKUP(C71,fnEquipLibRange,16,FALSE),"")</f>
        <v/>
      </c>
      <c r="F71" s="70"/>
      <c r="G71" s="131"/>
      <c r="H71" s="107" t="str">
        <f ca="1">IFERROR(VLOOKUP(C71,fnEquipLibRange,2,FALSE),"")</f>
        <v/>
      </c>
      <c r="I71" s="101" t="str">
        <f>IF(ISBLANK(G71),"",IF(G71&lt;VLOOKUP(C71,fnEquipLibRange,3,FALSE),"&gt;&gt;&gt; Too Small &lt;&lt;&lt;",IF(G71&gt;VLOOKUP(C71,fnEquipLibRange,4,FALSE),"&gt;&gt;&gt; Too Large &lt;&lt;&lt;","Yes")))</f>
        <v/>
      </c>
      <c r="J71" s="101"/>
      <c r="K71" s="102" t="str">
        <f>IF(F71*G71=0,"",IFERROR(IF(F71*G71*$D$31/$D$28&lt;VLOOKUP(C71,fnEquipLibRange,3,FALSE),MAX(1,F71),MAX(ROUNDUP(F71*G71*$D$31/$D$28/VLOOKUP(C71,fnEquipLibRange,4,FALSE),0),F71)),""))</f>
        <v/>
      </c>
      <c r="L71" s="103" t="str">
        <f>IF(F71*G71=0,"",IFERROR(IF(F71*G71*$D$31/$D$28&lt;VLOOKUP(C71,fnEquipLibRange,3,FALSE),VLOOKUP(C71,fnEquipLibRange,3,FALSE),F71*G71*$D$31/$D$28/MAX(ROUNDUP(F71*G71*$D$31/$D$28/VLOOKUP(C71,fnEquipLibRange,4,FALSE),0),F71)),""))</f>
        <v/>
      </c>
      <c r="M71" s="103"/>
      <c r="N71" s="104" t="str">
        <f>IF($K71="","",IFERROR($K71*fnEquipCostCorr*fnEquipCostIndex*fnEquipConstMaterial,""))</f>
        <v/>
      </c>
      <c r="O71" s="105" t="str">
        <f ca="1">IFERROR(fnEquipInstFactor*N71,"")</f>
        <v/>
      </c>
      <c r="P71" s="106" t="str">
        <f ca="1">IFERROR(fnEquipLaborFactor*K71,"")</f>
        <v/>
      </c>
      <c r="Q71" s="19"/>
      <c r="S71" s="95" t="str">
        <f t="shared" si="0"/>
        <v/>
      </c>
      <c r="T71" s="11" t="str">
        <f ca="1">IFERROR(IF(INDEX(fnEquipLibRange,fnEquipRowNum,39)="","",INDEX(fnEquipLibRange,fnEquipRowNum,39)),"")</f>
        <v/>
      </c>
    </row>
    <row r="72" spans="2:20" hidden="1" outlineLevel="1">
      <c r="B72" s="16"/>
      <c r="C72" s="69"/>
      <c r="D72" s="70"/>
      <c r="E72" s="70" t="str">
        <f ca="1">IFERROR(VLOOKUP(C72,fnEquipLibRange,16,FALSE),"")</f>
        <v/>
      </c>
      <c r="F72" s="70"/>
      <c r="G72" s="131"/>
      <c r="H72" s="107" t="str">
        <f ca="1">IFERROR(VLOOKUP(C72,fnEquipLibRange,2,FALSE),"")</f>
        <v/>
      </c>
      <c r="I72" s="101" t="str">
        <f>IF(ISBLANK(G72),"",IF(G72&lt;VLOOKUP(C72,fnEquipLibRange,3,FALSE),"&gt;&gt;&gt; Too Small &lt;&lt;&lt;",IF(G72&gt;VLOOKUP(C72,fnEquipLibRange,4,FALSE),"&gt;&gt;&gt; Too Large &lt;&lt;&lt;","Yes")))</f>
        <v/>
      </c>
      <c r="J72" s="101"/>
      <c r="K72" s="102" t="str">
        <f>IF(F72*G72=0,"",IFERROR(IF(F72*G72*$D$31/$D$28&lt;VLOOKUP(C72,fnEquipLibRange,3,FALSE),MAX(1,F72),MAX(ROUNDUP(F72*G72*$D$31/$D$28/VLOOKUP(C72,fnEquipLibRange,4,FALSE),0),F72)),""))</f>
        <v/>
      </c>
      <c r="L72" s="103" t="str">
        <f>IF(F72*G72=0,"",IFERROR(IF(F72*G72*$D$31/$D$28&lt;VLOOKUP(C72,fnEquipLibRange,3,FALSE),VLOOKUP(C72,fnEquipLibRange,3,FALSE),F72*G72*$D$31/$D$28/MAX(ROUNDUP(F72*G72*$D$31/$D$28/VLOOKUP(C72,fnEquipLibRange,4,FALSE),0),F72)),""))</f>
        <v/>
      </c>
      <c r="M72" s="103"/>
      <c r="N72" s="104" t="str">
        <f>IF($K72="","",IFERROR($K72*fnEquipCostCorr*fnEquipCostIndex*fnEquipConstMaterial,""))</f>
        <v/>
      </c>
      <c r="O72" s="105" t="str">
        <f ca="1">IFERROR(fnEquipInstFactor*N72,"")</f>
        <v/>
      </c>
      <c r="P72" s="106" t="str">
        <f ca="1">IFERROR(fnEquipLaborFactor*K72,"")</f>
        <v/>
      </c>
      <c r="Q72" s="19"/>
      <c r="S72" s="95" t="str">
        <f t="shared" si="0"/>
        <v/>
      </c>
      <c r="T72" s="11" t="str">
        <f ca="1">IFERROR(IF(INDEX(fnEquipLibRange,fnEquipRowNum,39)="","",INDEX(fnEquipLibRange,fnEquipRowNum,39)),"")</f>
        <v/>
      </c>
    </row>
    <row r="73" spans="2:20" hidden="1" outlineLevel="1">
      <c r="B73" s="16"/>
      <c r="C73" s="69"/>
      <c r="D73" s="70"/>
      <c r="E73" s="70" t="str">
        <f ca="1">IFERROR(VLOOKUP(C73,fnEquipLibRange,16,FALSE),"")</f>
        <v/>
      </c>
      <c r="F73" s="70"/>
      <c r="G73" s="131"/>
      <c r="H73" s="107" t="str">
        <f ca="1">IFERROR(VLOOKUP(C73,fnEquipLibRange,2,FALSE),"")</f>
        <v/>
      </c>
      <c r="I73" s="101" t="str">
        <f>IF(ISBLANK(G73),"",IF(G73&lt;VLOOKUP(C73,fnEquipLibRange,3,FALSE),"&gt;&gt;&gt; Too Small &lt;&lt;&lt;",IF(G73&gt;VLOOKUP(C73,fnEquipLibRange,4,FALSE),"&gt;&gt;&gt; Too Large &lt;&lt;&lt;","Yes")))</f>
        <v/>
      </c>
      <c r="J73" s="101"/>
      <c r="K73" s="102" t="str">
        <f>IF(F73*G73=0,"",IFERROR(IF(F73*G73*$D$31/$D$28&lt;VLOOKUP(C73,fnEquipLibRange,3,FALSE),MAX(1,F73),MAX(ROUNDUP(F73*G73*$D$31/$D$28/VLOOKUP(C73,fnEquipLibRange,4,FALSE),0),F73)),""))</f>
        <v/>
      </c>
      <c r="L73" s="103" t="str">
        <f>IF(F73*G73=0,"",IFERROR(IF(F73*G73*$D$31/$D$28&lt;VLOOKUP(C73,fnEquipLibRange,3,FALSE),VLOOKUP(C73,fnEquipLibRange,3,FALSE),F73*G73*$D$31/$D$28/MAX(ROUNDUP(F73*G73*$D$31/$D$28/VLOOKUP(C73,fnEquipLibRange,4,FALSE),0),F73)),""))</f>
        <v/>
      </c>
      <c r="M73" s="103"/>
      <c r="N73" s="104" t="str">
        <f>IF($K73="","",IFERROR($K73*fnEquipCostCorr*fnEquipCostIndex*fnEquipConstMaterial,""))</f>
        <v/>
      </c>
      <c r="O73" s="105" t="str">
        <f ca="1">IFERROR(fnEquipInstFactor*N73,"")</f>
        <v/>
      </c>
      <c r="P73" s="106" t="str">
        <f ca="1">IFERROR(fnEquipLaborFactor*K73,"")</f>
        <v/>
      </c>
      <c r="Q73" s="19"/>
      <c r="S73" s="95" t="str">
        <f t="shared" si="0"/>
        <v/>
      </c>
      <c r="T73" s="11" t="str">
        <f ca="1">IFERROR(IF(INDEX(fnEquipLibRange,fnEquipRowNum,39)="","",INDEX(fnEquipLibRange,fnEquipRowNum,39)),"")</f>
        <v/>
      </c>
    </row>
    <row r="74" spans="2:20" hidden="1" outlineLevel="1">
      <c r="B74" s="16"/>
      <c r="C74" s="69"/>
      <c r="D74" s="70"/>
      <c r="E74" s="70" t="str">
        <f ca="1">IFERROR(VLOOKUP(C74,fnEquipLibRange,16,FALSE),"")</f>
        <v/>
      </c>
      <c r="F74" s="70"/>
      <c r="G74" s="131"/>
      <c r="H74" s="107" t="str">
        <f ca="1">IFERROR(VLOOKUP(C74,fnEquipLibRange,2,FALSE),"")</f>
        <v/>
      </c>
      <c r="I74" s="101" t="str">
        <f>IF(ISBLANK(G74),"",IF(G74&lt;VLOOKUP(C74,fnEquipLibRange,3,FALSE),"&gt;&gt;&gt; Too Small &lt;&lt;&lt;",IF(G74&gt;VLOOKUP(C74,fnEquipLibRange,4,FALSE),"&gt;&gt;&gt; Too Large &lt;&lt;&lt;","Yes")))</f>
        <v/>
      </c>
      <c r="J74" s="101"/>
      <c r="K74" s="102" t="str">
        <f>IF(F74*G74=0,"",IFERROR(IF(F74*G74*$D$31/$D$28&lt;VLOOKUP(C74,fnEquipLibRange,3,FALSE),MAX(1,F74),MAX(ROUNDUP(F74*G74*$D$31/$D$28/VLOOKUP(C74,fnEquipLibRange,4,FALSE),0),F74)),""))</f>
        <v/>
      </c>
      <c r="L74" s="103" t="str">
        <f>IF(F74*G74=0,"",IFERROR(IF(F74*G74*$D$31/$D$28&lt;VLOOKUP(C74,fnEquipLibRange,3,FALSE),VLOOKUP(C74,fnEquipLibRange,3,FALSE),F74*G74*$D$31/$D$28/MAX(ROUNDUP(F74*G74*$D$31/$D$28/VLOOKUP(C74,fnEquipLibRange,4,FALSE),0),F74)),""))</f>
        <v/>
      </c>
      <c r="M74" s="103"/>
      <c r="N74" s="104" t="str">
        <f>IF($K74="","",IFERROR($K74*fnEquipCostCorr*fnEquipCostIndex*fnEquipConstMaterial,""))</f>
        <v/>
      </c>
      <c r="O74" s="105" t="str">
        <f ca="1">IFERROR(fnEquipInstFactor*N74,"")</f>
        <v/>
      </c>
      <c r="P74" s="106" t="str">
        <f ca="1">IFERROR(fnEquipLaborFactor*K74,"")</f>
        <v/>
      </c>
      <c r="Q74" s="19"/>
      <c r="S74" s="95" t="str">
        <f t="shared" si="0"/>
        <v/>
      </c>
      <c r="T74" s="11" t="str">
        <f ca="1">IFERROR(IF(INDEX(fnEquipLibRange,fnEquipRowNum,39)="","",INDEX(fnEquipLibRange,fnEquipRowNum,39)),"")</f>
        <v/>
      </c>
    </row>
    <row r="75" spans="2:20" hidden="1" outlineLevel="1">
      <c r="B75" s="16"/>
      <c r="C75" s="69"/>
      <c r="D75" s="70"/>
      <c r="E75" s="70" t="str">
        <f ca="1">IFERROR(VLOOKUP(C75,fnEquipLibRange,16,FALSE),"")</f>
        <v/>
      </c>
      <c r="F75" s="70"/>
      <c r="G75" s="131"/>
      <c r="H75" s="107" t="str">
        <f ca="1">IFERROR(VLOOKUP(C75,fnEquipLibRange,2,FALSE),"")</f>
        <v/>
      </c>
      <c r="I75" s="101" t="str">
        <f>IF(ISBLANK(G75),"",IF(G75&lt;VLOOKUP(C75,fnEquipLibRange,3,FALSE),"&gt;&gt;&gt; Too Small &lt;&lt;&lt;",IF(G75&gt;VLOOKUP(C75,fnEquipLibRange,4,FALSE),"&gt;&gt;&gt; Too Large &lt;&lt;&lt;","Yes")))</f>
        <v/>
      </c>
      <c r="J75" s="101"/>
      <c r="K75" s="102" t="str">
        <f>IF(F75*G75=0,"",IFERROR(IF(F75*G75*$D$31/$D$28&lt;VLOOKUP(C75,fnEquipLibRange,3,FALSE),MAX(1,F75),MAX(ROUNDUP(F75*G75*$D$31/$D$28/VLOOKUP(C75,fnEquipLibRange,4,FALSE),0),F75)),""))</f>
        <v/>
      </c>
      <c r="L75" s="103" t="str">
        <f>IF(F75*G75=0,"",IFERROR(IF(F75*G75*$D$31/$D$28&lt;VLOOKUP(C75,fnEquipLibRange,3,FALSE),VLOOKUP(C75,fnEquipLibRange,3,FALSE),F75*G75*$D$31/$D$28/MAX(ROUNDUP(F75*G75*$D$31/$D$28/VLOOKUP(C75,fnEquipLibRange,4,FALSE),0),F75)),""))</f>
        <v/>
      </c>
      <c r="M75" s="103"/>
      <c r="N75" s="104" t="str">
        <f>IF($K75="","",IFERROR($K75*fnEquipCostCorr*fnEquipCostIndex*fnEquipConstMaterial,""))</f>
        <v/>
      </c>
      <c r="O75" s="105" t="str">
        <f ca="1">IFERROR(fnEquipInstFactor*N75,"")</f>
        <v/>
      </c>
      <c r="P75" s="106" t="str">
        <f ca="1">IFERROR(fnEquipLaborFactor*K75,"")</f>
        <v/>
      </c>
      <c r="Q75" s="19"/>
      <c r="S75" s="95" t="str">
        <f t="shared" si="0"/>
        <v/>
      </c>
      <c r="T75" s="11" t="str">
        <f ca="1">IFERROR(IF(INDEX(fnEquipLibRange,fnEquipRowNum,39)="","",INDEX(fnEquipLibRange,fnEquipRowNum,39)),"")</f>
        <v/>
      </c>
    </row>
    <row r="76" spans="2:20" ht="17" hidden="1" outlineLevel="1" thickBot="1">
      <c r="B76" s="21"/>
      <c r="C76" s="22"/>
      <c r="D76" s="22"/>
      <c r="E76" s="22"/>
      <c r="F76" s="22"/>
      <c r="G76" s="22"/>
      <c r="H76" s="22"/>
      <c r="I76" s="22"/>
      <c r="J76" s="22"/>
      <c r="K76" s="22"/>
      <c r="L76" s="100"/>
      <c r="M76" s="100"/>
      <c r="N76" s="22"/>
      <c r="O76" s="22"/>
      <c r="P76" s="22"/>
      <c r="Q76" s="23"/>
    </row>
    <row r="77" spans="2:20" ht="32" hidden="1" customHeight="1" outlineLevel="1">
      <c r="B77" s="429" t="str">
        <f>"Equipment Cost Totals: "&amp;C20</f>
        <v>Equipment Cost Totals: Custom Process</v>
      </c>
      <c r="C77" s="430"/>
      <c r="D77" s="430"/>
      <c r="E77" s="431"/>
    </row>
    <row r="78" spans="2:20" hidden="1" outlineLevel="1">
      <c r="B78" s="16"/>
      <c r="C78" s="17" t="str">
        <f>"Equipment Cost Totals for "&amp;C20</f>
        <v>Equipment Cost Totals for Custom Process</v>
      </c>
      <c r="D78" s="18"/>
      <c r="E78" s="19"/>
    </row>
    <row r="79" spans="2:20" hidden="1" outlineLevel="1">
      <c r="B79" s="16"/>
      <c r="C79" s="18"/>
      <c r="D79" s="163" t="s">
        <v>310</v>
      </c>
      <c r="E79" s="309">
        <f>SUM(N36:N75)</f>
        <v>0</v>
      </c>
    </row>
    <row r="80" spans="2:20" hidden="1" outlineLevel="1">
      <c r="B80" s="16"/>
      <c r="C80" s="18"/>
      <c r="D80" s="163" t="s">
        <v>358</v>
      </c>
      <c r="E80" s="309">
        <f ca="1">SUM(O36:O75)</f>
        <v>0</v>
      </c>
    </row>
    <row r="81" spans="1:9" hidden="1" outlineLevel="1">
      <c r="B81" s="16"/>
      <c r="C81" s="18"/>
      <c r="D81" s="163" t="s">
        <v>1004</v>
      </c>
      <c r="E81" s="310">
        <f ca="1">SUM(P36:P75)</f>
        <v>0</v>
      </c>
    </row>
    <row r="82" spans="1:9" ht="17" hidden="1" outlineLevel="1" thickBot="1">
      <c r="B82" s="21"/>
      <c r="C82" s="22"/>
      <c r="D82" s="22"/>
      <c r="E82" s="23"/>
    </row>
    <row r="83" spans="1:9" ht="17" collapsed="1" thickBot="1">
      <c r="A83" s="314" t="str">
        <f>"&lt;– show/hide "&amp;B17</f>
        <v>&lt;– show/hide User Entry: Custom Process</v>
      </c>
    </row>
    <row r="84" spans="1:9" ht="21" thickBot="1">
      <c r="B84" s="355" t="str">
        <f>"Process Template: "&amp;C87</f>
        <v>Process Template: Metal Carbide on Metal Oxide</v>
      </c>
      <c r="C84" s="356"/>
      <c r="D84" s="356"/>
      <c r="E84" s="356"/>
      <c r="F84" s="356"/>
      <c r="G84" s="357"/>
      <c r="I84" s="201"/>
    </row>
    <row r="85" spans="1:9" hidden="1" outlineLevel="1">
      <c r="B85" s="13"/>
      <c r="C85" s="14"/>
      <c r="D85" s="14"/>
      <c r="E85" s="14"/>
      <c r="F85" s="14"/>
      <c r="G85" s="15"/>
      <c r="I85" s="201"/>
    </row>
    <row r="86" spans="1:9" hidden="1" outlineLevel="1">
      <c r="B86" s="16"/>
      <c r="C86" s="17" t="s">
        <v>1058</v>
      </c>
      <c r="D86" s="18"/>
      <c r="E86" s="18"/>
      <c r="F86" s="18"/>
      <c r="G86" s="19"/>
      <c r="I86" s="201"/>
    </row>
    <row r="87" spans="1:9" hidden="1" outlineLevel="1">
      <c r="B87" s="16"/>
      <c r="C87" s="18" t="s">
        <v>1002</v>
      </c>
      <c r="D87" s="18"/>
      <c r="E87" s="18"/>
      <c r="F87" s="18"/>
      <c r="G87" s="19"/>
      <c r="I87" s="201"/>
    </row>
    <row r="88" spans="1:9" ht="17" hidden="1" outlineLevel="1" thickBot="1">
      <c r="B88" s="16"/>
      <c r="C88" s="18"/>
      <c r="D88" s="18"/>
      <c r="E88" s="18"/>
      <c r="F88" s="18"/>
      <c r="G88" s="19"/>
      <c r="I88" s="201"/>
    </row>
    <row r="89" spans="1:9" ht="32" hidden="1" customHeight="1" outlineLevel="1">
      <c r="B89" s="429" t="str">
        <f>"Scaling Inputs: "&amp;C87</f>
        <v>Scaling Inputs: Metal Carbide on Metal Oxide</v>
      </c>
      <c r="C89" s="430"/>
      <c r="D89" s="430"/>
      <c r="E89" s="430"/>
      <c r="F89" s="430"/>
      <c r="G89" s="431"/>
      <c r="I89" s="201"/>
    </row>
    <row r="90" spans="1:9" hidden="1" outlineLevel="1">
      <c r="B90" s="16"/>
      <c r="C90" s="17" t="s">
        <v>1754</v>
      </c>
      <c r="D90" s="18"/>
      <c r="E90" s="18"/>
      <c r="F90" s="18"/>
      <c r="G90" s="19"/>
      <c r="I90" s="201"/>
    </row>
    <row r="91" spans="1:9" hidden="1" outlineLevel="1">
      <c r="B91" s="16"/>
      <c r="C91" s="138" t="s">
        <v>1755</v>
      </c>
      <c r="D91" s="177">
        <v>1000</v>
      </c>
      <c r="E91" s="48" t="str">
        <f>IF(COUNTBLANK(D92:D94)&gt;0,"select units below",D92&amp;" "&amp;D93&amp;"/"&amp;D94)</f>
        <v>kg catalyst/hour</v>
      </c>
      <c r="F91" s="42" t="s">
        <v>162</v>
      </c>
      <c r="G91" s="19"/>
      <c r="I91" s="201"/>
    </row>
    <row r="92" spans="1:9" hidden="1" outlineLevel="1">
      <c r="B92" s="16"/>
      <c r="C92" s="138"/>
      <c r="D92" s="177" t="s">
        <v>71</v>
      </c>
      <c r="E92" s="48" t="s">
        <v>919</v>
      </c>
      <c r="F92" s="48"/>
      <c r="G92" s="19"/>
      <c r="I92" s="201"/>
    </row>
    <row r="93" spans="1:9" hidden="1" outlineLevel="1">
      <c r="B93" s="16"/>
      <c r="C93" s="138"/>
      <c r="D93" s="177" t="s">
        <v>922</v>
      </c>
      <c r="E93" s="48" t="s">
        <v>921</v>
      </c>
      <c r="F93" s="42" t="s">
        <v>162</v>
      </c>
      <c r="G93" s="19"/>
      <c r="I93" s="201"/>
    </row>
    <row r="94" spans="1:9" hidden="1" outlineLevel="1">
      <c r="B94" s="16"/>
      <c r="C94" s="138"/>
      <c r="D94" s="177" t="s">
        <v>969</v>
      </c>
      <c r="E94" s="48" t="s">
        <v>920</v>
      </c>
      <c r="F94" s="42" t="s">
        <v>162</v>
      </c>
      <c r="G94" s="19"/>
      <c r="I94" s="201"/>
    </row>
    <row r="95" spans="1:9" hidden="1" outlineLevel="1">
      <c r="B95" s="16"/>
      <c r="C95" s="138" t="s">
        <v>1756</v>
      </c>
      <c r="D95" s="49">
        <f>IFERROR(D91*VLOOKUP(D92,UnitConv[],5,FALSE)/VLOOKUP(OutMassUnit,UnitConv[],5,FALSE)*IF(D93="active phase",100/APWeightPercent,1)/CHOOSE(MATCH(D94,{"hour","day","week","month","year"},0),1,24,24*7,7884/12,7884),"-----")</f>
        <v>2204.6226218487759</v>
      </c>
      <c r="E95" s="48" t="str">
        <f>OutMassUnit&amp;" catalyst/hour"</f>
        <v>lb catalyst/hour</v>
      </c>
      <c r="F95" s="48"/>
      <c r="G95" s="19"/>
      <c r="I95" s="201"/>
    </row>
    <row r="96" spans="1:9" hidden="1" outlineLevel="1">
      <c r="B96" s="16"/>
      <c r="C96" s="135"/>
      <c r="D96" s="99"/>
      <c r="E96" s="48"/>
      <c r="F96" s="48"/>
      <c r="G96" s="19"/>
      <c r="I96" s="201"/>
    </row>
    <row r="97" spans="2:21" hidden="1" outlineLevel="1">
      <c r="B97" s="16"/>
      <c r="C97" s="17" t="s">
        <v>1731</v>
      </c>
      <c r="D97" s="18"/>
      <c r="E97" s="18"/>
      <c r="F97" s="18"/>
      <c r="G97" s="19"/>
      <c r="I97" s="201"/>
    </row>
    <row r="98" spans="2:21" hidden="1" outlineLevel="1">
      <c r="B98" s="16"/>
      <c r="C98" s="138" t="s">
        <v>1753</v>
      </c>
      <c r="D98" s="49">
        <f>IF(DesignProductionRate=0,"-----",DesignProductionRate)</f>
        <v>12683.916793505834</v>
      </c>
      <c r="E98" s="48" t="str">
        <f>OutMassUnit&amp;" catalyst/hour"</f>
        <v>lb catalyst/hour</v>
      </c>
      <c r="F98" s="42" t="s">
        <v>162</v>
      </c>
      <c r="G98" s="19"/>
      <c r="I98" s="201"/>
    </row>
    <row r="99" spans="2:21" ht="17" hidden="1" outlineLevel="1" thickBot="1">
      <c r="B99" s="16"/>
      <c r="C99" s="18"/>
      <c r="D99" s="305"/>
      <c r="E99" s="18"/>
      <c r="F99" s="18"/>
      <c r="G99" s="19"/>
    </row>
    <row r="100" spans="2:21" s="308" customFormat="1" ht="32" hidden="1" customHeight="1" outlineLevel="1">
      <c r="B100" s="429" t="str">
        <f>"Equipment List: "&amp;C87</f>
        <v>Equipment List: Metal Carbide on Metal Oxide</v>
      </c>
      <c r="C100" s="430"/>
      <c r="D100" s="430"/>
      <c r="E100" s="430"/>
      <c r="F100" s="430"/>
      <c r="G100" s="430"/>
      <c r="H100" s="306"/>
      <c r="I100" s="306"/>
      <c r="J100" s="306"/>
      <c r="K100" s="306"/>
      <c r="L100" s="306"/>
      <c r="M100" s="306"/>
      <c r="N100" s="306"/>
      <c r="O100" s="306"/>
      <c r="P100" s="306"/>
      <c r="Q100" s="307"/>
    </row>
    <row r="101" spans="2:21" ht="19" hidden="1" outlineLevel="1">
      <c r="B101" s="16"/>
      <c r="C101" s="427" t="s">
        <v>439</v>
      </c>
      <c r="D101" s="427"/>
      <c r="E101" s="427"/>
      <c r="F101" s="427"/>
      <c r="G101" s="427"/>
      <c r="H101" s="427"/>
      <c r="I101" s="427"/>
      <c r="J101" s="73"/>
      <c r="K101" s="427" t="s">
        <v>321</v>
      </c>
      <c r="L101" s="427"/>
      <c r="M101" s="73"/>
      <c r="N101" s="427" t="s">
        <v>322</v>
      </c>
      <c r="O101" s="427"/>
      <c r="P101" s="427"/>
      <c r="Q101" s="19"/>
      <c r="S101" s="428" t="s">
        <v>1007</v>
      </c>
      <c r="T101" s="428"/>
      <c r="U101" s="308"/>
    </row>
    <row r="102" spans="2:21" hidden="1" outlineLevel="1">
      <c r="B102" s="16"/>
      <c r="C102" s="64" t="s">
        <v>306</v>
      </c>
      <c r="D102" s="64" t="s">
        <v>312</v>
      </c>
      <c r="E102" s="64" t="s">
        <v>313</v>
      </c>
      <c r="F102" s="64" t="s">
        <v>309</v>
      </c>
      <c r="G102" s="64" t="s">
        <v>314</v>
      </c>
      <c r="H102" s="64" t="s">
        <v>307</v>
      </c>
      <c r="I102" s="64" t="s">
        <v>308</v>
      </c>
      <c r="J102" s="64"/>
      <c r="K102" s="64" t="s">
        <v>1083</v>
      </c>
      <c r="L102" s="64" t="s">
        <v>1084</v>
      </c>
      <c r="M102" s="64"/>
      <c r="N102" s="64" t="s">
        <v>310</v>
      </c>
      <c r="O102" s="64" t="s">
        <v>358</v>
      </c>
      <c r="P102" s="64" t="s">
        <v>311</v>
      </c>
      <c r="Q102" s="19"/>
      <c r="S102" s="311" t="s">
        <v>306</v>
      </c>
      <c r="T102" s="311" t="s">
        <v>207</v>
      </c>
      <c r="U102" s="308"/>
    </row>
    <row r="103" spans="2:21" hidden="1" outlineLevel="1">
      <c r="B103" s="16"/>
      <c r="C103" s="69" t="s">
        <v>574</v>
      </c>
      <c r="D103" s="70" t="s">
        <v>963</v>
      </c>
      <c r="E103" s="70" t="s">
        <v>337</v>
      </c>
      <c r="F103" s="70">
        <v>1</v>
      </c>
      <c r="G103" s="131">
        <v>120.76020000000001</v>
      </c>
      <c r="H103" s="107" t="str">
        <f ca="1">IFERROR(VLOOKUP(C103,fnEquipLibRange,2,FALSE),"")</f>
        <v>Volume, ft3</v>
      </c>
      <c r="I103" s="101" t="str">
        <f ca="1">IF(ISBLANK(G103),"",IF(G103&lt;VLOOKUP(C103,fnEquipLibRange,3,FALSE),"&gt;&gt;&gt; Too Small &lt;&lt;&lt;",IF(G103&gt;VLOOKUP(C103,fnEquipLibRange,4,FALSE),"&gt;&gt;&gt; Too Large &lt;&lt;&lt;","Yes")))</f>
        <v>Yes</v>
      </c>
      <c r="J103" s="101"/>
      <c r="K103" s="102">
        <f ca="1">IF(F103*G103=0,"",IFERROR(IF(F103*G103*$D$98/$D$95&lt;VLOOKUP(C103,fnEquipLibRange,3,FALSE),MAX(1,F103),MAX(ROUNDUP(F103*G103*$D$98/$D$95/VLOOKUP(C103,fnEquipLibRange,4,FALSE),0),F103)),""))</f>
        <v>1</v>
      </c>
      <c r="L103" s="103">
        <f ca="1">IF(F103*G103=0,"",IFERROR(IF(F103*G103*$D$98/$D$95&lt;VLOOKUP(C103,fnEquipLibRange,3,FALSE),VLOOKUP(C103,fnEquipLibRange,3,FALSE),F103*G103*$D$98/$D$95/MAX(ROUNDUP(F103*G103*$D$98/$D$95/VLOOKUP(C103,fnEquipLibRange,4,FALSE),0),F103)),""))</f>
        <v>694.77302536369859</v>
      </c>
      <c r="M103" s="103"/>
      <c r="N103" s="104">
        <f ca="1">IF($K103="","",IFERROR($K103*fnEquipCostCorr*fnEquipCostIndex*fnEquipConstMaterial,""))</f>
        <v>12528.425707052509</v>
      </c>
      <c r="O103" s="105">
        <f ca="1">IFERROR(fnEquipInstFactor*N103,"")</f>
        <v>12528.425707052509</v>
      </c>
      <c r="P103" s="106">
        <f ca="1">IFERROR(fnEquipLaborFactor*K103,"")</f>
        <v>0</v>
      </c>
      <c r="Q103" s="19"/>
      <c r="S103" s="95" t="str">
        <f>IF(ISBLANK(C103),"",C103)</f>
        <v>Bin</v>
      </c>
      <c r="T103" s="11" t="str">
        <f ca="1">IFERROR(IF(INDEX(fnEquipLibRange,fnEquipRowNum,39)="","",INDEX(fnEquipLibRange,fnEquipRowNum,39)),"")</f>
        <v>Carbon steel at atmospheric pressure</v>
      </c>
      <c r="U103" s="308"/>
    </row>
    <row r="104" spans="2:21" hidden="1" outlineLevel="1">
      <c r="B104" s="16"/>
      <c r="C104" s="69" t="s">
        <v>575</v>
      </c>
      <c r="D104" s="70" t="s">
        <v>964</v>
      </c>
      <c r="E104" s="70" t="s">
        <v>337</v>
      </c>
      <c r="F104" s="70">
        <v>1</v>
      </c>
      <c r="G104" s="131">
        <v>96.396300000000011</v>
      </c>
      <c r="H104" s="107" t="str">
        <f ca="1">IFERROR(VLOOKUP(C104,fnEquipLibRange,2,FALSE),"")</f>
        <v>Volumetric flow rate, ft3/hr</v>
      </c>
      <c r="I104" s="101" t="str">
        <f ca="1">IF(ISBLANK(G104),"",IF(G104&lt;VLOOKUP(C104,fnEquipLibRange,3,FALSE),"&gt;&gt;&gt; Too Small &lt;&lt;&lt;",IF(G104&gt;VLOOKUP(C104,fnEquipLibRange,4,FALSE),"&gt;&gt;&gt; Too Large &lt;&lt;&lt;","Yes")))</f>
        <v>&gt;&gt;&gt; Too Small &lt;&lt;&lt;</v>
      </c>
      <c r="J104" s="101"/>
      <c r="K104" s="102">
        <f ca="1">IF(F104*G104=0,"",IFERROR(IF(F104*G104*$D$98/$D$95&lt;VLOOKUP(C104,fnEquipLibRange,3,FALSE),MAX(1,F104),MAX(ROUNDUP(F104*G104*$D$98/$D$95/VLOOKUP(C104,fnEquipLibRange,4,FALSE),0),F104)),""))</f>
        <v>2</v>
      </c>
      <c r="L104" s="103">
        <f ca="1">IF(F104*G104=0,"",IFERROR(IF(F104*G104*$D$98/$D$95&lt;VLOOKUP(C104,fnEquipLibRange,3,FALSE),VLOOKUP(C104,fnEquipLibRange,3,FALSE),F104*G104*$D$98/$D$95/MAX(ROUNDUP(F104*G104*$D$98/$D$95/VLOOKUP(C104,fnEquipLibRange,4,FALSE),0),F104)),""))</f>
        <v>277.29976012323061</v>
      </c>
      <c r="M104" s="103"/>
      <c r="N104" s="104">
        <f ca="1">IF($K104="","",IFERROR($K104*fnEquipCostCorr*fnEquipCostIndex*fnEquipConstMaterial,""))</f>
        <v>13178.244976357722</v>
      </c>
      <c r="O104" s="105">
        <f ca="1">IFERROR(fnEquipInstFactor*N104,"")</f>
        <v>22666.581359335283</v>
      </c>
      <c r="P104" s="106">
        <f ca="1">IFERROR(fnEquipLaborFactor*K104,"")</f>
        <v>0.2</v>
      </c>
      <c r="Q104" s="19"/>
      <c r="S104" s="95" t="str">
        <f t="shared" ref="S104:S122" si="1">IF(ISBLANK(C104),"",C104)</f>
        <v>Feeder, belt</v>
      </c>
      <c r="T104" s="11" t="str">
        <f ca="1">IFERROR(IF(INDEX(fnEquipLibRange,fnEquipRowNum,39)="","",INDEX(fnEquipLibRange,fnEquipRowNum,39)),"")</f>
        <v>Includes motor and drive belt</v>
      </c>
    </row>
    <row r="105" spans="2:21" hidden="1" outlineLevel="1">
      <c r="B105" s="16"/>
      <c r="C105" s="69" t="s">
        <v>278</v>
      </c>
      <c r="D105" s="70" t="s">
        <v>317</v>
      </c>
      <c r="E105" s="70" t="s">
        <v>337</v>
      </c>
      <c r="F105" s="70">
        <v>1</v>
      </c>
      <c r="G105" s="131">
        <v>4.79</v>
      </c>
      <c r="H105" s="107" t="str">
        <f ca="1">IFERROR(VLOOKUP(C105,fnEquipLibRange,2,FALSE),"")</f>
        <v>volume, m3</v>
      </c>
      <c r="I105" s="101" t="str">
        <f ca="1">IF(ISBLANK(G105),"",IF(G105&lt;VLOOKUP(C105,fnEquipLibRange,3,FALSE),"&gt;&gt;&gt; Too Small &lt;&lt;&lt;",IF(G105&gt;VLOOKUP(C105,fnEquipLibRange,4,FALSE),"&gt;&gt;&gt; Too Large &lt;&lt;&lt;","Yes")))</f>
        <v>Yes</v>
      </c>
      <c r="J105" s="101"/>
      <c r="K105" s="102">
        <f ca="1">IF(F105*G105=0,"",IFERROR(IF(F105*G105*$D$98/$D$95&lt;VLOOKUP(C105,fnEquipLibRange,3,FALSE),MAX(1,F105),MAX(ROUNDUP(F105*G105*$D$98/$D$95/VLOOKUP(C105,fnEquipLibRange,4,FALSE),0),F105)),""))</f>
        <v>1</v>
      </c>
      <c r="L105" s="103">
        <f ca="1">IF(F105*G105=0,"",IFERROR(IF(F105*G105*$D$98/$D$95&lt;VLOOKUP(C105,fnEquipLibRange,3,FALSE),VLOOKUP(C105,fnEquipLibRange,3,FALSE),F105*G105*$D$98/$D$95/MAX(ROUNDUP(F105*G105*$D$98/$D$95/VLOOKUP(C105,fnEquipLibRange,4,FALSE),0),F105)),""))</f>
        <v>27.558440541603247</v>
      </c>
      <c r="M105" s="103"/>
      <c r="N105" s="104">
        <f ca="1">IF($K105="","",IFERROR($K105*fnEquipCostCorr*fnEquipCostIndex*fnEquipConstMaterial,""))</f>
        <v>409107.29356569715</v>
      </c>
      <c r="O105" s="105">
        <f ca="1">IFERROR(fnEquipInstFactor*N105,"")</f>
        <v>695482.3990616852</v>
      </c>
      <c r="P105" s="106">
        <f ca="1">IFERROR(fnEquipLaborFactor*K105,"")</f>
        <v>0.3</v>
      </c>
      <c r="Q105" s="19"/>
      <c r="S105" s="95" t="str">
        <f t="shared" si="1"/>
        <v>Reactor, jacketed, agitated</v>
      </c>
      <c r="T105" s="11" t="str">
        <f ca="1">IFERROR(IF(INDEX(fnEquipLibRange,fnEquipRowNum,39)="","",INDEX(fnEquipLibRange,fnEquipRowNum,39)),"")</f>
        <v/>
      </c>
    </row>
    <row r="106" spans="2:21" hidden="1" outlineLevel="1">
      <c r="B106" s="16"/>
      <c r="C106" s="69" t="s">
        <v>681</v>
      </c>
      <c r="D106" s="70" t="s">
        <v>965</v>
      </c>
      <c r="E106" s="70" t="s">
        <v>685</v>
      </c>
      <c r="F106" s="70">
        <v>1</v>
      </c>
      <c r="G106" s="131">
        <v>7170000</v>
      </c>
      <c r="H106" s="107" t="str">
        <f ca="1">IFERROR(VLOOKUP(C106,fnEquipLibRange,2,FALSE),"")</f>
        <v>Heat duty, Btu/hr</v>
      </c>
      <c r="I106" s="101" t="str">
        <f ca="1">IF(ISBLANK(G106),"",IF(G106&lt;VLOOKUP(C106,fnEquipLibRange,3,FALSE),"&gt;&gt;&gt; Too Small &lt;&lt;&lt;",IF(G106&gt;VLOOKUP(C106,fnEquipLibRange,4,FALSE),"&gt;&gt;&gt; Too Large &lt;&lt;&lt;","Yes")))</f>
        <v>&gt;&gt;&gt; Too Small &lt;&lt;&lt;</v>
      </c>
      <c r="J106" s="101"/>
      <c r="K106" s="102">
        <f ca="1">IF(F106*G106=0,"",IFERROR(IF(F106*G106*$D$98/$D$95&lt;VLOOKUP(C106,fnEquipLibRange,3,FALSE),MAX(1,F106),MAX(ROUNDUP(F106*G106*$D$98/$D$95/VLOOKUP(C106,fnEquipLibRange,4,FALSE),0),F106)),""))</f>
        <v>1</v>
      </c>
      <c r="L106" s="103">
        <f ca="1">IF(F106*G106=0,"",IFERROR(IF(F106*G106*$D$98/$D$95&lt;VLOOKUP(C106,fnEquipLibRange,3,FALSE),VLOOKUP(C106,fnEquipLibRange,3,FALSE),F106*G106*$D$98/$D$95/MAX(ROUNDUP(F106*G106*$D$98/$D$95/VLOOKUP(C106,fnEquipLibRange,4,FALSE),0),F106)),""))</f>
        <v>41251360.894216128</v>
      </c>
      <c r="M106" s="103"/>
      <c r="N106" s="104">
        <f ca="1">IF($K106="","",IFERROR($K106*fnEquipCostCorr*fnEquipCostIndex*fnEquipConstMaterial,""))</f>
        <v>780448.86964562885</v>
      </c>
      <c r="O106" s="105">
        <f ca="1">IFERROR(fnEquipInstFactor*N106,"")</f>
        <v>1186282.2818613558</v>
      </c>
      <c r="P106" s="106">
        <f ca="1">IFERROR(fnEquipLaborFactor*K106,"")</f>
        <v>0.3</v>
      </c>
      <c r="Q106" s="19"/>
      <c r="S106" s="95" t="str">
        <f t="shared" si="1"/>
        <v>Heater, general purpose (box furnace)</v>
      </c>
      <c r="T106" s="11" t="str">
        <f ca="1">IFERROR(IF(INDEX(fnEquipLibRange,fnEquipRowNum,39)="","",INDEX(fnEquipLibRange,fnEquipRowNum,39)),"")</f>
        <v>Gas or fuel oil; up to 500 psig, for 500–3000 psig multiply purchase price by pressure factor = [0.986 – 0.0035*(P, psig) + 0.0175*(P, psig)^2]</v>
      </c>
    </row>
    <row r="107" spans="2:21" hidden="1" outlineLevel="1">
      <c r="B107" s="16"/>
      <c r="C107" s="69" t="s">
        <v>278</v>
      </c>
      <c r="D107" s="70" t="s">
        <v>318</v>
      </c>
      <c r="E107" s="70" t="s">
        <v>337</v>
      </c>
      <c r="F107" s="70">
        <v>1</v>
      </c>
      <c r="G107" s="131">
        <v>5.47</v>
      </c>
      <c r="H107" s="107" t="str">
        <f ca="1">IFERROR(VLOOKUP(C107,fnEquipLibRange,2,FALSE),"")</f>
        <v>volume, m3</v>
      </c>
      <c r="I107" s="101" t="str">
        <f ca="1">IF(ISBLANK(G107),"",IF(G107&lt;VLOOKUP(C107,fnEquipLibRange,3,FALSE),"&gt;&gt;&gt; Too Small &lt;&lt;&lt;",IF(G107&gt;VLOOKUP(C107,fnEquipLibRange,4,FALSE),"&gt;&gt;&gt; Too Large &lt;&lt;&lt;","Yes")))</f>
        <v>Yes</v>
      </c>
      <c r="J107" s="101"/>
      <c r="K107" s="102">
        <f ca="1">IF(F107*G107=0,"",IFERROR(IF(F107*G107*$D$98/$D$95&lt;VLOOKUP(C107,fnEquipLibRange,3,FALSE),MAX(1,F107),MAX(ROUNDUP(F107*G107*$D$98/$D$95/VLOOKUP(C107,fnEquipLibRange,4,FALSE),0),F107)),""))</f>
        <v>1</v>
      </c>
      <c r="L107" s="103">
        <f ca="1">IF(F107*G107=0,"",IFERROR(IF(F107*G107*$D$98/$D$95&lt;VLOOKUP(C107,fnEquipLibRange,3,FALSE),VLOOKUP(C107,fnEquipLibRange,3,FALSE),F107*G107*$D$98/$D$95/MAX(ROUNDUP(F107*G107*$D$98/$D$95/VLOOKUP(C107,fnEquipLibRange,4,FALSE),0),F107)),""))</f>
        <v>31.470703499492643</v>
      </c>
      <c r="M107" s="103"/>
      <c r="N107" s="104">
        <f ca="1">IF($K107="","",IFERROR($K107*fnEquipCostCorr*fnEquipCostIndex*fnEquipConstMaterial,""))</f>
        <v>449553.7725520205</v>
      </c>
      <c r="O107" s="105">
        <f ca="1">IFERROR(fnEquipInstFactor*N107,"")</f>
        <v>764241.41333843488</v>
      </c>
      <c r="P107" s="106">
        <f ca="1">IFERROR(fnEquipLaborFactor*K107,"")</f>
        <v>0.3</v>
      </c>
      <c r="Q107" s="19"/>
      <c r="S107" s="95" t="str">
        <f t="shared" si="1"/>
        <v>Reactor, jacketed, agitated</v>
      </c>
      <c r="T107" s="11" t="str">
        <f ca="1">IFERROR(IF(INDEX(fnEquipLibRange,fnEquipRowNum,39)="","",INDEX(fnEquipLibRange,fnEquipRowNum,39)),"")</f>
        <v/>
      </c>
    </row>
    <row r="108" spans="2:21" hidden="1" outlineLevel="1">
      <c r="B108" s="16"/>
      <c r="C108" s="69" t="s">
        <v>739</v>
      </c>
      <c r="D108" s="70" t="s">
        <v>1010</v>
      </c>
      <c r="E108" s="70" t="s">
        <v>337</v>
      </c>
      <c r="F108" s="70">
        <v>1</v>
      </c>
      <c r="G108" s="131">
        <v>2.4500000000000002</v>
      </c>
      <c r="H108" s="107" t="str">
        <f ca="1">IFERROR(VLOOKUP(C108,fnEquipLibRange,2,FALSE),"")</f>
        <v>area, m2</v>
      </c>
      <c r="I108" s="101" t="str">
        <f ca="1">IF(ISBLANK(G108),"",IF(G108&lt;VLOOKUP(C108,fnEquipLibRange,3,FALSE),"&gt;&gt;&gt; Too Small &lt;&lt;&lt;",IF(G108&gt;VLOOKUP(C108,fnEquipLibRange,4,FALSE),"&gt;&gt;&gt; Too Large &lt;&lt;&lt;","Yes")))</f>
        <v>&gt;&gt;&gt; Too Small &lt;&lt;&lt;</v>
      </c>
      <c r="J108" s="101"/>
      <c r="K108" s="102">
        <f ca="1">IF(F108*G108=0,"",IFERROR(IF(F108*G108*$D$98/$D$95&lt;VLOOKUP(C108,fnEquipLibRange,3,FALSE),MAX(1,F108),MAX(ROUNDUP(F108*G108*$D$98/$D$95/VLOOKUP(C108,fnEquipLibRange,4,FALSE),0),F108)),""))</f>
        <v>1</v>
      </c>
      <c r="L108" s="103">
        <f ca="1">IF(F108*G108=0,"",IFERROR(IF(F108*G108*$D$98/$D$95&lt;VLOOKUP(C108,fnEquipLibRange,3,FALSE),VLOOKUP(C108,fnEquipLibRange,3,FALSE),F108*G108*$D$98/$D$95/MAX(ROUNDUP(F108*G108*$D$98/$D$95/VLOOKUP(C108,fnEquipLibRange,4,FALSE),0),F108)),""))</f>
        <v>14.095653304160326</v>
      </c>
      <c r="M108" s="103"/>
      <c r="N108" s="104">
        <f ca="1">IF($K108="","",IFERROR($K108*fnEquipCostCorr*fnEquipCostIndex*fnEquipConstMaterial,""))</f>
        <v>29792.302521651665</v>
      </c>
      <c r="O108" s="105">
        <f ca="1">IFERROR(fnEquipInstFactor*N108,"")</f>
        <v>47965.607059859183</v>
      </c>
      <c r="P108" s="106">
        <f ca="1">IFERROR(fnEquipLaborFactor*K108,"")</f>
        <v>0.05</v>
      </c>
      <c r="Q108" s="19"/>
      <c r="S108" s="95" t="str">
        <f t="shared" si="1"/>
        <v>Heat exchanger, U-tube shell and tube</v>
      </c>
      <c r="T108" s="11" t="str">
        <f ca="1">IFERROR(IF(INDEX(fnEquipLibRange,fnEquipRowNum,39)="","",INDEX(fnEquipLibRange,fnEquipRowNum,39)),"")</f>
        <v/>
      </c>
    </row>
    <row r="109" spans="2:21" hidden="1" outlineLevel="1">
      <c r="B109" s="16"/>
      <c r="C109" s="69" t="s">
        <v>678</v>
      </c>
      <c r="D109" s="70" t="s">
        <v>966</v>
      </c>
      <c r="E109" s="70" t="s">
        <v>337</v>
      </c>
      <c r="F109" s="70">
        <v>1</v>
      </c>
      <c r="G109" s="131">
        <v>8.61</v>
      </c>
      <c r="H109" s="107" t="str">
        <f ca="1">IFERROR(VLOOKUP(C109,fnEquipLibRange,2,FALSE),"")</f>
        <v>Consumed power, hp</v>
      </c>
      <c r="I109" s="101" t="str">
        <f ca="1">IF(ISBLANK(G109),"",IF(G109&lt;VLOOKUP(C109,fnEquipLibRange,3,FALSE),"&gt;&gt;&gt; Too Small &lt;&lt;&lt;",IF(G109&gt;VLOOKUP(C109,fnEquipLibRange,4,FALSE),"&gt;&gt;&gt; Too Large &lt;&lt;&lt;","Yes")))</f>
        <v>&gt;&gt;&gt; Too Small &lt;&lt;&lt;</v>
      </c>
      <c r="J109" s="101"/>
      <c r="K109" s="102">
        <f ca="1">IF(F109*G109=0,"",IFERROR(IF(F109*G109*$D$98/$D$95&lt;VLOOKUP(C109,fnEquipLibRange,3,FALSE),MAX(1,F109),MAX(ROUNDUP(F109*G109*$D$98/$D$95/VLOOKUP(C109,fnEquipLibRange,4,FALSE),0),F109)),""))</f>
        <v>1</v>
      </c>
      <c r="L109" s="103">
        <f ca="1">IF(F109*G109=0,"",IFERROR(IF(F109*G109*$D$98/$D$95&lt;VLOOKUP(C109,fnEquipLibRange,3,FALSE),VLOOKUP(C109,fnEquipLibRange,3,FALSE),F109*G109*$D$98/$D$95/MAX(ROUNDUP(F109*G109*$D$98/$D$95/VLOOKUP(C109,fnEquipLibRange,4,FALSE),0),F109)),""))</f>
        <v>49.536153040334852</v>
      </c>
      <c r="M109" s="103"/>
      <c r="N109" s="104">
        <f ca="1">IF($K109="","",IFERROR($K109*fnEquipCostCorr*fnEquipCostIndex*fnEquipConstMaterial,""))</f>
        <v>61773.781890029954</v>
      </c>
      <c r="O109" s="105">
        <f ca="1">IFERROR(fnEquipInstFactor*N109,"")</f>
        <v>92042.935016144635</v>
      </c>
      <c r="P109" s="106">
        <f ca="1">IFERROR(fnEquipLaborFactor*K109,"")</f>
        <v>0.1</v>
      </c>
      <c r="Q109" s="19"/>
      <c r="S109" s="95" t="str">
        <f t="shared" si="1"/>
        <v>Compressor, rotary twin-screw, electric motor (preferred)</v>
      </c>
      <c r="T109" s="11" t="str">
        <f ca="1">IFERROR(IF(INDEX(fnEquipLibRange,fnEquipRowNum,39)="","",INDEX(fnEquipLibRange,fnEquipRowNum,39)),"")</f>
        <v>Includes drive and electric motor</v>
      </c>
    </row>
    <row r="110" spans="2:21" hidden="1" outlineLevel="1">
      <c r="B110" s="16"/>
      <c r="C110" s="69" t="s">
        <v>646</v>
      </c>
      <c r="D110" s="70" t="s">
        <v>967</v>
      </c>
      <c r="E110" s="70" t="s">
        <v>337</v>
      </c>
      <c r="F110" s="70">
        <v>1</v>
      </c>
      <c r="G110" s="131">
        <v>0.47</v>
      </c>
      <c r="H110" s="107" t="str">
        <f ca="1">IFERROR(VLOOKUP(C110,fnEquipLibRange,2,FALSE),"")</f>
        <v>Brake horsepower</v>
      </c>
      <c r="I110" s="101" t="str">
        <f ca="1">IF(ISBLANK(G110),"",IF(G110&lt;VLOOKUP(C110,fnEquipLibRange,3,FALSE),"&gt;&gt;&gt; Too Small &lt;&lt;&lt;",IF(G110&gt;VLOOKUP(C110,fnEquipLibRange,4,FALSE),"&gt;&gt;&gt; Too Large &lt;&lt;&lt;","Yes")))</f>
        <v>&gt;&gt;&gt; Too Small &lt;&lt;&lt;</v>
      </c>
      <c r="J110" s="101"/>
      <c r="K110" s="102">
        <f ca="1">IF(F110*G110=0,"",IFERROR(IF(F110*G110*$D$98/$D$95&lt;VLOOKUP(C110,fnEquipLibRange,3,FALSE),MAX(1,F110),MAX(ROUNDUP(F110*G110*$D$98/$D$95/VLOOKUP(C110,fnEquipLibRange,4,FALSE),0),F110)),""))</f>
        <v>1</v>
      </c>
      <c r="L110" s="103">
        <f ca="1">IF(F110*G110=0,"",IFERROR(IF(F110*G110*$D$98/$D$95&lt;VLOOKUP(C110,fnEquipLibRange,3,FALSE),VLOOKUP(C110,fnEquipLibRange,3,FALSE),F110*G110*$D$98/$D$95/MAX(ROUNDUP(F110*G110*$D$98/$D$95/VLOOKUP(C110,fnEquipLibRange,4,FALSE),0),F110)),""))</f>
        <v>5</v>
      </c>
      <c r="M110" s="103"/>
      <c r="N110" s="104">
        <f ca="1">IF($K110="","",IFERROR($K110*fnEquipCostCorr*fnEquipCostIndex*fnEquipConstMaterial,""))</f>
        <v>3808.7740646532525</v>
      </c>
      <c r="O110" s="105">
        <f ca="1">IFERROR(fnEquipInstFactor*N110,"")</f>
        <v>5675.0733563333461</v>
      </c>
      <c r="P110" s="106">
        <f ca="1">IFERROR(fnEquipLaborFactor*K110,"")</f>
        <v>0.1</v>
      </c>
      <c r="Q110" s="19"/>
      <c r="S110" s="95" t="str">
        <f t="shared" si="1"/>
        <v>Blower, centrifugal (turbo)</v>
      </c>
      <c r="T110" s="11" t="str">
        <f ca="1">IFERROR(IF(INDEX(fnEquipLibRange,fnEquipRowNum,39)="","",INDEX(fnEquipLibRange,fnEquipRowNum,39)),"")</f>
        <v>Includes drive and electric motor; cast iron housing; a "blower" may operate at any suction pressure and applies to compression ratios of up to 2</v>
      </c>
    </row>
    <row r="111" spans="2:21" hidden="1" outlineLevel="1">
      <c r="B111" s="16"/>
      <c r="C111" s="69" t="s">
        <v>678</v>
      </c>
      <c r="D111" s="70" t="s">
        <v>1011</v>
      </c>
      <c r="E111" s="70" t="s">
        <v>337</v>
      </c>
      <c r="F111" s="70">
        <v>1</v>
      </c>
      <c r="G111" s="131">
        <v>22.18</v>
      </c>
      <c r="H111" s="107" t="str">
        <f ca="1">IFERROR(VLOOKUP(C111,fnEquipLibRange,2,FALSE),"")</f>
        <v>Consumed power, hp</v>
      </c>
      <c r="I111" s="101" t="str">
        <f ca="1">IF(ISBLANK(G111),"",IF(G111&lt;VLOOKUP(C111,fnEquipLibRange,3,FALSE),"&gt;&gt;&gt; Too Small &lt;&lt;&lt;",IF(G111&gt;VLOOKUP(C111,fnEquipLibRange,4,FALSE),"&gt;&gt;&gt; Too Large &lt;&lt;&lt;","Yes")))</f>
        <v>Yes</v>
      </c>
      <c r="J111" s="101"/>
      <c r="K111" s="102">
        <f ca="1">IF(F111*G111=0,"",IFERROR(IF(F111*G111*$D$98/$D$95&lt;VLOOKUP(C111,fnEquipLibRange,3,FALSE),MAX(1,F111),MAX(ROUNDUP(F111*G111*$D$98/$D$95/VLOOKUP(C111,fnEquipLibRange,4,FALSE),0),F111)),""))</f>
        <v>1</v>
      </c>
      <c r="L111" s="103">
        <f ca="1">IF(F111*G111=0,"",IFERROR(IF(F111*G111*$D$98/$D$95&lt;VLOOKUP(C111,fnEquipLibRange,3,FALSE),VLOOKUP(C111,fnEquipLibRange,3,FALSE),F111*G111*$D$98/$D$95/MAX(ROUNDUP(F111*G111*$D$98/$D$95/VLOOKUP(C111,fnEquipLibRange,4,FALSE),0),F111)),""))</f>
        <v>127.60881236174529</v>
      </c>
      <c r="M111" s="103"/>
      <c r="N111" s="104">
        <f ca="1">IF($K111="","",IFERROR($K111*fnEquipCostCorr*fnEquipCostIndex*fnEquipConstMaterial,""))</f>
        <v>122591.78044140707</v>
      </c>
      <c r="O111" s="105">
        <f ca="1">IFERROR(fnEquipInstFactor*N111,"")</f>
        <v>182661.75285769653</v>
      </c>
      <c r="P111" s="106">
        <f ca="1">IFERROR(fnEquipLaborFactor*K111,"")</f>
        <v>0.1</v>
      </c>
      <c r="Q111" s="19"/>
      <c r="S111" s="95" t="str">
        <f t="shared" si="1"/>
        <v>Compressor, rotary twin-screw, electric motor (preferred)</v>
      </c>
      <c r="T111" s="11" t="str">
        <f ca="1">IFERROR(IF(INDEX(fnEquipLibRange,fnEquipRowNum,39)="","",INDEX(fnEquipLibRange,fnEquipRowNum,39)),"")</f>
        <v>Includes drive and electric motor</v>
      </c>
    </row>
    <row r="112" spans="2:21" hidden="1" outlineLevel="1">
      <c r="B112" s="16"/>
      <c r="C112" s="69" t="s">
        <v>646</v>
      </c>
      <c r="D112" s="70" t="s">
        <v>1012</v>
      </c>
      <c r="E112" s="70" t="s">
        <v>337</v>
      </c>
      <c r="F112" s="70">
        <v>1</v>
      </c>
      <c r="G112" s="131">
        <v>48.2</v>
      </c>
      <c r="H112" s="107" t="str">
        <f ca="1">IFERROR(VLOOKUP(C112,fnEquipLibRange,2,FALSE),"")</f>
        <v>Brake horsepower</v>
      </c>
      <c r="I112" s="101" t="str">
        <f ca="1">IF(ISBLANK(G112),"",IF(G112&lt;VLOOKUP(C112,fnEquipLibRange,3,FALSE),"&gt;&gt;&gt; Too Small &lt;&lt;&lt;",IF(G112&gt;VLOOKUP(C112,fnEquipLibRange,4,FALSE),"&gt;&gt;&gt; Too Large &lt;&lt;&lt;","Yes")))</f>
        <v>Yes</v>
      </c>
      <c r="J112" s="101"/>
      <c r="K112" s="102">
        <f ca="1">IF(F112*G112=0,"",IFERROR(IF(F112*G112*$D$98/$D$95&lt;VLOOKUP(C112,fnEquipLibRange,3,FALSE),MAX(1,F112),MAX(ROUNDUP(F112*G112*$D$98/$D$95/VLOOKUP(C112,fnEquipLibRange,4,FALSE),0),F112)),""))</f>
        <v>1</v>
      </c>
      <c r="L112" s="103">
        <f ca="1">IF(F112*G112=0,"",IFERROR(IF(F112*G112*$D$98/$D$95&lt;VLOOKUP(C112,fnEquipLibRange,3,FALSE),VLOOKUP(C112,fnEquipLibRange,3,FALSE),F112*G112*$D$98/$D$95/MAX(ROUNDUP(F112*G112*$D$98/$D$95/VLOOKUP(C112,fnEquipLibRange,4,FALSE),0),F112)),""))</f>
        <v>277.31040377980719</v>
      </c>
      <c r="M112" s="103"/>
      <c r="N112" s="104">
        <f ca="1">IF($K112="","",IFERROR($K112*fnEquipCostCorr*fnEquipCostIndex*fnEquipConstMaterial,""))</f>
        <v>90895.45683072164</v>
      </c>
      <c r="O112" s="105">
        <f ca="1">IFERROR(fnEquipInstFactor*N112,"")</f>
        <v>135434.23067777525</v>
      </c>
      <c r="P112" s="106">
        <f ca="1">IFERROR(fnEquipLaborFactor*K112,"")</f>
        <v>0.1</v>
      </c>
      <c r="Q112" s="19"/>
      <c r="S112" s="95" t="str">
        <f t="shared" si="1"/>
        <v>Blower, centrifugal (turbo)</v>
      </c>
      <c r="T112" s="11" t="str">
        <f ca="1">IFERROR(IF(INDEX(fnEquipLibRange,fnEquipRowNum,39)="","",INDEX(fnEquipLibRange,fnEquipRowNum,39)),"")</f>
        <v>Includes drive and electric motor; cast iron housing; a "blower" may operate at any suction pressure and applies to compression ratios of up to 2</v>
      </c>
    </row>
    <row r="113" spans="2:20" hidden="1" outlineLevel="1">
      <c r="B113" s="16"/>
      <c r="C113" s="69" t="s">
        <v>783</v>
      </c>
      <c r="D113" s="70" t="s">
        <v>1013</v>
      </c>
      <c r="E113" s="70" t="s">
        <v>786</v>
      </c>
      <c r="F113" s="70">
        <v>1</v>
      </c>
      <c r="G113" s="131">
        <v>3053.6000000000004</v>
      </c>
      <c r="H113" s="107" t="str">
        <f ca="1">IFERROR(VLOOKUP(C113,fnEquipLibRange,2,FALSE),"")</f>
        <v>Waste gas flow rate, lb/hr</v>
      </c>
      <c r="I113" s="101" t="str">
        <f ca="1">IF(ISBLANK(G113),"",IF(G113&lt;VLOOKUP(C113,fnEquipLibRange,3,FALSE),"&gt;&gt;&gt; Too Small &lt;&lt;&lt;",IF(G113&gt;VLOOKUP(C113,fnEquipLibRange,4,FALSE),"&gt;&gt;&gt; Too Large &lt;&lt;&lt;","Yes")))</f>
        <v>Yes</v>
      </c>
      <c r="J113" s="101"/>
      <c r="K113" s="102">
        <f ca="1">IF(F113*G113=0,"",IFERROR(IF(F113*G113*$D$98/$D$95&lt;VLOOKUP(C113,fnEquipLibRange,3,FALSE),MAX(1,F113),MAX(ROUNDUP(F113*G113*$D$98/$D$95/VLOOKUP(C113,fnEquipLibRange,4,FALSE),0),F113)),""))</f>
        <v>1</v>
      </c>
      <c r="L113" s="103">
        <f ca="1">IF(F113*G113=0,"",IFERROR(IF(F113*G113*$D$98/$D$95&lt;VLOOKUP(C113,fnEquipLibRange,3,FALSE),VLOOKUP(C113,fnEquipLibRange,3,FALSE),F113*G113*$D$98/$D$95/MAX(ROUNDUP(F113*G113*$D$98/$D$95/VLOOKUP(C113,fnEquipLibRange,4,FALSE),0),F113)),""))</f>
        <v>17568.362012075089</v>
      </c>
      <c r="M113" s="103"/>
      <c r="N113" s="104">
        <f ca="1">IF($K113="","",IFERROR($K113*fnEquipCostCorr*fnEquipCostIndex*fnEquipConstMaterial,""))</f>
        <v>142555.83309451613</v>
      </c>
      <c r="O113" s="105">
        <f ca="1">IFERROR(fnEquipInstFactor*N113,"")</f>
        <v>206705.95798704837</v>
      </c>
      <c r="P113" s="106">
        <f ca="1">IFERROR(fnEquipLaborFactor*K113,"")</f>
        <v>0.1</v>
      </c>
      <c r="Q113" s="19"/>
      <c r="S113" s="95" t="str">
        <f t="shared" si="1"/>
        <v>Flare, elevated (40 ft)</v>
      </c>
      <c r="T113" s="11" t="str">
        <f ca="1">IFERROR(IF(INDEX(fnEquipLibRange,fnEquipRowNum,39)="","",INDEX(fnEquipLibRange,fnEquipRowNum,39)),"")</f>
        <v>Standard cost for 60–1000 Btu/ft3, non-corrosive. Use material factors for other scenarios.</v>
      </c>
    </row>
    <row r="114" spans="2:20" hidden="1" outlineLevel="1">
      <c r="B114" s="16"/>
      <c r="C114" s="69" t="s">
        <v>473</v>
      </c>
      <c r="D114" s="70" t="s">
        <v>1014</v>
      </c>
      <c r="E114" s="70" t="s">
        <v>337</v>
      </c>
      <c r="F114" s="70">
        <v>1</v>
      </c>
      <c r="G114" s="131">
        <v>70.550847457627114</v>
      </c>
      <c r="H114" s="107" t="str">
        <f ca="1">IFERROR(VLOOKUP(C114,fnEquipLibRange,2,FALSE),"")</f>
        <v>Gas flow rate, actual ft3/min</v>
      </c>
      <c r="I114" s="101" t="str">
        <f ca="1">IF(ISBLANK(G114),"",IF(G114&lt;VLOOKUP(C114,fnEquipLibRange,3,FALSE),"&gt;&gt;&gt; Too Small &lt;&lt;&lt;",IF(G114&gt;VLOOKUP(C114,fnEquipLibRange,4,FALSE),"&gt;&gt;&gt; Too Large &lt;&lt;&lt;","Yes")))</f>
        <v>&gt;&gt;&gt; Too Small &lt;&lt;&lt;</v>
      </c>
      <c r="J114" s="101"/>
      <c r="K114" s="102">
        <f ca="1">IF(F114*G114=0,"",IFERROR(IF(F114*G114*$D$98/$D$95&lt;VLOOKUP(C114,fnEquipLibRange,3,FALSE),MAX(1,F114),MAX(ROUNDUP(F114*G114*$D$98/$D$95/VLOOKUP(C114,fnEquipLibRange,4,FALSE),0),F114)),""))</f>
        <v>1</v>
      </c>
      <c r="L114" s="103">
        <f ca="1">IF(F114*G114=0,"",IFERROR(IF(F114*G114*$D$98/$D$95&lt;VLOOKUP(C114,fnEquipLibRange,3,FALSE),VLOOKUP(C114,fnEquipLibRange,3,FALSE),F114*G114*$D$98/$D$95/MAX(ROUNDUP(F114*G114*$D$98/$D$95/VLOOKUP(C114,fnEquipLibRange,4,FALSE),0),F114)),""))</f>
        <v>5000</v>
      </c>
      <c r="M114" s="103"/>
      <c r="N114" s="104">
        <f ca="1">IF($K114="","",IFERROR($K114*fnEquipCostCorr*fnEquipCostIndex*fnEquipConstMaterial,""))</f>
        <v>41689.631229968567</v>
      </c>
      <c r="O114" s="105">
        <f ca="1">IFERROR(fnEquipInstFactor*N114,"")</f>
        <v>79210.299336940268</v>
      </c>
      <c r="P114" s="106">
        <f ca="1">IFERROR(fnEquipLaborFactor*K114,"")</f>
        <v>0.1</v>
      </c>
      <c r="Q114" s="19"/>
      <c r="S114" s="95" t="str">
        <f t="shared" si="1"/>
        <v>Bag filter</v>
      </c>
      <c r="T114" s="11" t="str">
        <f ca="1">IFERROR(IF(INDEX(fnEquipLibRange,fnEquipRowNum,39)="","",INDEX(fnEquipLibRange,fnEquipRowNum,39)),"")</f>
        <v>Dust particles 0.1–50 microns in size</v>
      </c>
    </row>
    <row r="115" spans="2:20" hidden="1" outlineLevel="1">
      <c r="B115" s="16"/>
      <c r="C115" s="69" t="s">
        <v>766</v>
      </c>
      <c r="D115" s="70" t="s">
        <v>319</v>
      </c>
      <c r="E115" s="70" t="s">
        <v>337</v>
      </c>
      <c r="F115" s="70">
        <v>1</v>
      </c>
      <c r="G115" s="131">
        <v>500</v>
      </c>
      <c r="H115" s="107" t="str">
        <f ca="1">IFERROR(VLOOKUP(C115,fnEquipLibRange,2,FALSE),"")</f>
        <v>Volume, gal</v>
      </c>
      <c r="I115" s="101" t="str">
        <f ca="1">IF(ISBLANK(G115),"",IF(G115&lt;VLOOKUP(C115,fnEquipLibRange,3,FALSE),"&gt;&gt;&gt; Too Small &lt;&lt;&lt;",IF(G115&gt;VLOOKUP(C115,fnEquipLibRange,4,FALSE),"&gt;&gt;&gt; Too Large &lt;&lt;&lt;","Yes")))</f>
        <v>&gt;&gt;&gt; Too Small &lt;&lt;&lt;</v>
      </c>
      <c r="J115" s="101"/>
      <c r="K115" s="102">
        <f ca="1">IF(F115*G115=0,"",IFERROR(IF(F115*G115*$D$98/$D$95&lt;VLOOKUP(C115,fnEquipLibRange,3,FALSE),MAX(1,F115),MAX(ROUNDUP(F115*G115*$D$98/$D$95/VLOOKUP(C115,fnEquipLibRange,4,FALSE),0),F115)),""))</f>
        <v>1</v>
      </c>
      <c r="L115" s="103">
        <f ca="1">IF(F115*G115=0,"",IFERROR(IF(F115*G115*$D$98/$D$95&lt;VLOOKUP(C115,fnEquipLibRange,3,FALSE),VLOOKUP(C115,fnEquipLibRange,3,FALSE),F115*G115*$D$98/$D$95/MAX(ROUNDUP(F115*G115*$D$98/$D$95/VLOOKUP(C115,fnEquipLibRange,4,FALSE),0),F115)),""))</f>
        <v>2876.663939624556</v>
      </c>
      <c r="M115" s="103"/>
      <c r="N115" s="104">
        <f ca="1">IF($K115="","",IFERROR($K115*fnEquipCostCorr*fnEquipCostIndex*fnEquipConstMaterial,""))</f>
        <v>15068.576417983242</v>
      </c>
      <c r="O115" s="105">
        <f ca="1">IFERROR(fnEquipInstFactor*N115,"")</f>
        <v>28328.923665808492</v>
      </c>
      <c r="P115" s="106">
        <f ca="1">IFERROR(fnEquipLaborFactor*K115,"")</f>
        <v>0</v>
      </c>
      <c r="Q115" s="19"/>
      <c r="S115" s="95" t="str">
        <f t="shared" si="1"/>
        <v>Tank, cone roof (Seider)</v>
      </c>
      <c r="T115" s="11" t="str">
        <f ca="1">IFERROR(IF(INDEX(fnEquipLibRange,fnEquipRowNum,39)="","",INDEX(fnEquipLibRange,fnEquipRowNum,39)),"")</f>
        <v>Carbon steel, pressure up to 3 psig</v>
      </c>
    </row>
    <row r="116" spans="2:20" hidden="1" outlineLevel="1">
      <c r="B116" s="16"/>
      <c r="C116" s="69" t="s">
        <v>766</v>
      </c>
      <c r="D116" s="70" t="s">
        <v>320</v>
      </c>
      <c r="E116" s="70" t="s">
        <v>337</v>
      </c>
      <c r="F116" s="70">
        <v>1</v>
      </c>
      <c r="G116" s="131">
        <v>2000</v>
      </c>
      <c r="H116" s="107" t="str">
        <f ca="1">IFERROR(VLOOKUP(C116,fnEquipLibRange,2,FALSE),"")</f>
        <v>Volume, gal</v>
      </c>
      <c r="I116" s="101" t="str">
        <f ca="1">IF(ISBLANK(G116),"",IF(G116&lt;VLOOKUP(C116,fnEquipLibRange,3,FALSE),"&gt;&gt;&gt; Too Small &lt;&lt;&lt;",IF(G116&gt;VLOOKUP(C116,fnEquipLibRange,4,FALSE),"&gt;&gt;&gt; Too Large &lt;&lt;&lt;","Yes")))</f>
        <v>Yes</v>
      </c>
      <c r="J116" s="101"/>
      <c r="K116" s="102">
        <f ca="1">IF(F116*G116=0,"",IFERROR(IF(F116*G116*$D$98/$D$95&lt;VLOOKUP(C116,fnEquipLibRange,3,FALSE),MAX(1,F116),MAX(ROUNDUP(F116*G116*$D$98/$D$95/VLOOKUP(C116,fnEquipLibRange,4,FALSE),0),F116)),""))</f>
        <v>1</v>
      </c>
      <c r="L116" s="103">
        <f ca="1">IF(F116*G116=0,"",IFERROR(IF(F116*G116*$D$98/$D$95&lt;VLOOKUP(C116,fnEquipLibRange,3,FALSE),VLOOKUP(C116,fnEquipLibRange,3,FALSE),F116*G116*$D$98/$D$95/MAX(ROUNDUP(F116*G116*$D$98/$D$95/VLOOKUP(C116,fnEquipLibRange,4,FALSE),0),F116)),""))</f>
        <v>11506.655758498224</v>
      </c>
      <c r="M116" s="103"/>
      <c r="N116" s="104">
        <f ca="1">IF($K116="","",IFERROR($K116*fnEquipCostCorr*fnEquipCostIndex*fnEquipConstMaterial,""))</f>
        <v>30685.202980625458</v>
      </c>
      <c r="O116" s="105">
        <f ca="1">IFERROR(fnEquipInstFactor*N116,"")</f>
        <v>57688.18160357586</v>
      </c>
      <c r="P116" s="106">
        <f ca="1">IFERROR(fnEquipLaborFactor*K116,"")</f>
        <v>0</v>
      </c>
      <c r="Q116" s="19"/>
      <c r="S116" s="95" t="str">
        <f t="shared" si="1"/>
        <v>Tank, cone roof (Seider)</v>
      </c>
      <c r="T116" s="11" t="str">
        <f ca="1">IFERROR(IF(INDEX(fnEquipLibRange,fnEquipRowNum,39)="","",INDEX(fnEquipLibRange,fnEquipRowNum,39)),"")</f>
        <v>Carbon steel, pressure up to 3 psig</v>
      </c>
    </row>
    <row r="117" spans="2:20" hidden="1" outlineLevel="1">
      <c r="B117" s="16"/>
      <c r="C117" s="69" t="s">
        <v>766</v>
      </c>
      <c r="D117" s="70" t="s">
        <v>968</v>
      </c>
      <c r="E117" s="70" t="s">
        <v>337</v>
      </c>
      <c r="F117" s="70">
        <v>1</v>
      </c>
      <c r="G117" s="131">
        <v>2000</v>
      </c>
      <c r="H117" s="107" t="str">
        <f ca="1">IFERROR(VLOOKUP(C117,fnEquipLibRange,2,FALSE),"")</f>
        <v>Volume, gal</v>
      </c>
      <c r="I117" s="101" t="str">
        <f ca="1">IF(ISBLANK(G117),"",IF(G117&lt;VLOOKUP(C117,fnEquipLibRange,3,FALSE),"&gt;&gt;&gt; Too Small &lt;&lt;&lt;",IF(G117&gt;VLOOKUP(C117,fnEquipLibRange,4,FALSE),"&gt;&gt;&gt; Too Large &lt;&lt;&lt;","Yes")))</f>
        <v>Yes</v>
      </c>
      <c r="J117" s="101"/>
      <c r="K117" s="102">
        <f ca="1">IF(F117*G117=0,"",IFERROR(IF(F117*G117*$D$98/$D$95&lt;VLOOKUP(C117,fnEquipLibRange,3,FALSE),MAX(1,F117),MAX(ROUNDUP(F117*G117*$D$98/$D$95/VLOOKUP(C117,fnEquipLibRange,4,FALSE),0),F117)),""))</f>
        <v>1</v>
      </c>
      <c r="L117" s="103">
        <f ca="1">IF(F117*G117=0,"",IFERROR(IF(F117*G117*$D$98/$D$95&lt;VLOOKUP(C117,fnEquipLibRange,3,FALSE),VLOOKUP(C117,fnEquipLibRange,3,FALSE),F117*G117*$D$98/$D$95/MAX(ROUNDUP(F117*G117*$D$98/$D$95/VLOOKUP(C117,fnEquipLibRange,4,FALSE),0),F117)),""))</f>
        <v>11506.655758498224</v>
      </c>
      <c r="M117" s="103"/>
      <c r="N117" s="104">
        <f ca="1">IF($K117="","",IFERROR($K117*fnEquipCostCorr*fnEquipCostIndex*fnEquipConstMaterial,""))</f>
        <v>30685.202980625458</v>
      </c>
      <c r="O117" s="105">
        <f ca="1">IFERROR(fnEquipInstFactor*N117,"")</f>
        <v>57688.18160357586</v>
      </c>
      <c r="P117" s="106">
        <f ca="1">IFERROR(fnEquipLaborFactor*K117,"")</f>
        <v>0</v>
      </c>
      <c r="Q117" s="19"/>
      <c r="S117" s="95" t="str">
        <f t="shared" si="1"/>
        <v>Tank, cone roof (Seider)</v>
      </c>
      <c r="T117" s="11" t="str">
        <f ca="1">IFERROR(IF(INDEX(fnEquipLibRange,fnEquipRowNum,39)="","",INDEX(fnEquipLibRange,fnEquipRowNum,39)),"")</f>
        <v>Carbon steel, pressure up to 3 psig</v>
      </c>
    </row>
    <row r="118" spans="2:20" hidden="1" outlineLevel="1">
      <c r="B118" s="16"/>
      <c r="C118" s="69"/>
      <c r="D118" s="70"/>
      <c r="E118" s="70" t="str">
        <f ca="1">IFERROR(VLOOKUP(C118,fnEquipLibRange,16,FALSE),"")</f>
        <v/>
      </c>
      <c r="F118" s="70"/>
      <c r="G118" s="131"/>
      <c r="H118" s="107" t="str">
        <f ca="1">IFERROR(VLOOKUP(C118,fnEquipLibRange,2,FALSE),"")</f>
        <v/>
      </c>
      <c r="I118" s="101" t="str">
        <f>IF(ISBLANK(G118),"",IF(G118&lt;VLOOKUP(C118,fnEquipLibRange,3,FALSE),"&gt;&gt;&gt; Too Small &lt;&lt;&lt;",IF(G118&gt;VLOOKUP(C118,fnEquipLibRange,4,FALSE),"&gt;&gt;&gt; Too Large &lt;&lt;&lt;","Yes")))</f>
        <v/>
      </c>
      <c r="J118" s="101"/>
      <c r="K118" s="102" t="str">
        <f>IF(F118*G118=0,"",IFERROR(IF(F118*G118*$D$98/$D$95&lt;VLOOKUP(C118,fnEquipLibRange,3,FALSE),MAX(1,F118),MAX(ROUNDUP(F118*G118*$D$98/$D$95/VLOOKUP(C118,fnEquipLibRange,4,FALSE),0),F118)),""))</f>
        <v/>
      </c>
      <c r="L118" s="103" t="str">
        <f>IF(F118*G118=0,"",IFERROR(IF(F118*G118*$D$98/$D$95&lt;VLOOKUP(C118,fnEquipLibRange,3,FALSE),VLOOKUP(C118,fnEquipLibRange,3,FALSE),F118*G118*$D$98/$D$95/MAX(ROUNDUP(F118*G118*$D$98/$D$95/VLOOKUP(C118,fnEquipLibRange,4,FALSE),0),F118)),""))</f>
        <v/>
      </c>
      <c r="M118" s="103"/>
      <c r="N118" s="104" t="str">
        <f>IF($K118="","",IFERROR($K118*fnEquipCostCorr*fnEquipCostIndex*fnEquipConstMaterial,""))</f>
        <v/>
      </c>
      <c r="O118" s="105" t="str">
        <f ca="1">IFERROR(fnEquipInstFactor*N118,"")</f>
        <v/>
      </c>
      <c r="P118" s="106" t="str">
        <f ca="1">IFERROR(fnEquipLaborFactor*K118,"")</f>
        <v/>
      </c>
      <c r="Q118" s="19"/>
      <c r="S118" s="95" t="str">
        <f t="shared" si="1"/>
        <v/>
      </c>
      <c r="T118" s="11" t="str">
        <f ca="1">IFERROR(IF(INDEX(fnEquipLibRange,fnEquipRowNum,39)="","",INDEX(fnEquipLibRange,fnEquipRowNum,39)),"")</f>
        <v/>
      </c>
    </row>
    <row r="119" spans="2:20" hidden="1" outlineLevel="1">
      <c r="B119" s="16"/>
      <c r="C119" s="69"/>
      <c r="D119" s="70"/>
      <c r="E119" s="70" t="str">
        <f ca="1">IFERROR(VLOOKUP(C119,fnEquipLibRange,16,FALSE),"")</f>
        <v/>
      </c>
      <c r="F119" s="70"/>
      <c r="G119" s="131"/>
      <c r="H119" s="107" t="str">
        <f ca="1">IFERROR(VLOOKUP(C119,fnEquipLibRange,2,FALSE),"")</f>
        <v/>
      </c>
      <c r="I119" s="101" t="str">
        <f>IF(ISBLANK(G119),"",IF(G119&lt;VLOOKUP(C119,fnEquipLibRange,3,FALSE),"&gt;&gt;&gt; Too Small &lt;&lt;&lt;",IF(G119&gt;VLOOKUP(C119,fnEquipLibRange,4,FALSE),"&gt;&gt;&gt; Too Large &lt;&lt;&lt;","Yes")))</f>
        <v/>
      </c>
      <c r="J119" s="101"/>
      <c r="K119" s="102" t="str">
        <f>IF(F119*G119=0,"",IFERROR(IF(F119*G119*$D$98/$D$95&lt;VLOOKUP(C119,fnEquipLibRange,3,FALSE),MAX(1,F119),MAX(ROUNDUP(F119*G119*$D$98/$D$95/VLOOKUP(C119,fnEquipLibRange,4,FALSE),0),F119)),""))</f>
        <v/>
      </c>
      <c r="L119" s="103" t="str">
        <f>IF(F119*G119=0,"",IFERROR(IF(F119*G119*$D$98/$D$95&lt;VLOOKUP(C119,fnEquipLibRange,3,FALSE),VLOOKUP(C119,fnEquipLibRange,3,FALSE),F119*G119*$D$98/$D$95/MAX(ROUNDUP(F119*G119*$D$98/$D$95/VLOOKUP(C119,fnEquipLibRange,4,FALSE),0),F119)),""))</f>
        <v/>
      </c>
      <c r="M119" s="103"/>
      <c r="N119" s="104" t="str">
        <f>IF($K119="","",IFERROR($K119*fnEquipCostCorr*fnEquipCostIndex*fnEquipConstMaterial,""))</f>
        <v/>
      </c>
      <c r="O119" s="105" t="str">
        <f ca="1">IFERROR(fnEquipInstFactor*N119,"")</f>
        <v/>
      </c>
      <c r="P119" s="106" t="str">
        <f ca="1">IFERROR(fnEquipLaborFactor*K119,"")</f>
        <v/>
      </c>
      <c r="Q119" s="19"/>
      <c r="S119" s="95" t="str">
        <f t="shared" si="1"/>
        <v/>
      </c>
      <c r="T119" s="11" t="str">
        <f ca="1">IFERROR(IF(INDEX(fnEquipLibRange,fnEquipRowNum,39)="","",INDEX(fnEquipLibRange,fnEquipRowNum,39)),"")</f>
        <v/>
      </c>
    </row>
    <row r="120" spans="2:20" hidden="1" outlineLevel="1">
      <c r="B120" s="16"/>
      <c r="C120" s="69"/>
      <c r="D120" s="70"/>
      <c r="E120" s="70" t="str">
        <f ca="1">IFERROR(VLOOKUP(C120,fnEquipLibRange,16,FALSE),"")</f>
        <v/>
      </c>
      <c r="F120" s="70"/>
      <c r="G120" s="131"/>
      <c r="H120" s="107" t="str">
        <f ca="1">IFERROR(VLOOKUP(C120,fnEquipLibRange,2,FALSE),"")</f>
        <v/>
      </c>
      <c r="I120" s="101" t="str">
        <f>IF(ISBLANK(G120),"",IF(G120&lt;VLOOKUP(C120,fnEquipLibRange,3,FALSE),"&gt;&gt;&gt; Too Small &lt;&lt;&lt;",IF(G120&gt;VLOOKUP(C120,fnEquipLibRange,4,FALSE),"&gt;&gt;&gt; Too Large &lt;&lt;&lt;","Yes")))</f>
        <v/>
      </c>
      <c r="J120" s="101"/>
      <c r="K120" s="102" t="str">
        <f>IF(F120*G120=0,"",IFERROR(IF(F120*G120*$D$98/$D$95&lt;VLOOKUP(C120,fnEquipLibRange,3,FALSE),MAX(1,F120),MAX(ROUNDUP(F120*G120*$D$98/$D$95/VLOOKUP(C120,fnEquipLibRange,4,FALSE),0),F120)),""))</f>
        <v/>
      </c>
      <c r="L120" s="103" t="str">
        <f>IF(F120*G120=0,"",IFERROR(IF(F120*G120*$D$98/$D$95&lt;VLOOKUP(C120,fnEquipLibRange,3,FALSE),VLOOKUP(C120,fnEquipLibRange,3,FALSE),F120*G120*$D$98/$D$95/MAX(ROUNDUP(F120*G120*$D$98/$D$95/VLOOKUP(C120,fnEquipLibRange,4,FALSE),0),F120)),""))</f>
        <v/>
      </c>
      <c r="M120" s="103"/>
      <c r="N120" s="104" t="str">
        <f>IF($K120="","",IFERROR($K120*fnEquipCostCorr*fnEquipCostIndex*fnEquipConstMaterial,""))</f>
        <v/>
      </c>
      <c r="O120" s="105" t="str">
        <f ca="1">IFERROR(fnEquipInstFactor*N120,"")</f>
        <v/>
      </c>
      <c r="P120" s="106" t="str">
        <f ca="1">IFERROR(fnEquipLaborFactor*K120,"")</f>
        <v/>
      </c>
      <c r="Q120" s="19"/>
      <c r="S120" s="95" t="str">
        <f t="shared" si="1"/>
        <v/>
      </c>
      <c r="T120" s="11" t="str">
        <f ca="1">IFERROR(IF(INDEX(fnEquipLibRange,fnEquipRowNum,39)="","",INDEX(fnEquipLibRange,fnEquipRowNum,39)),"")</f>
        <v/>
      </c>
    </row>
    <row r="121" spans="2:20" hidden="1" outlineLevel="1">
      <c r="B121" s="16"/>
      <c r="C121" s="69"/>
      <c r="D121" s="70"/>
      <c r="E121" s="70" t="str">
        <f ca="1">IFERROR(VLOOKUP(C121,fnEquipLibRange,16,FALSE),"")</f>
        <v/>
      </c>
      <c r="F121" s="70"/>
      <c r="G121" s="131"/>
      <c r="H121" s="107" t="str">
        <f ca="1">IFERROR(VLOOKUP(C121,fnEquipLibRange,2,FALSE),"")</f>
        <v/>
      </c>
      <c r="I121" s="101" t="str">
        <f>IF(ISBLANK(G121),"",IF(G121&lt;VLOOKUP(C121,fnEquipLibRange,3,FALSE),"&gt;&gt;&gt; Too Small &lt;&lt;&lt;",IF(G121&gt;VLOOKUP(C121,fnEquipLibRange,4,FALSE),"&gt;&gt;&gt; Too Large &lt;&lt;&lt;","Yes")))</f>
        <v/>
      </c>
      <c r="J121" s="101"/>
      <c r="K121" s="102" t="str">
        <f>IF(F121*G121=0,"",IFERROR(IF(F121*G121*$D$98/$D$95&lt;VLOOKUP(C121,fnEquipLibRange,3,FALSE),MAX(1,F121),MAX(ROUNDUP(F121*G121*$D$98/$D$95/VLOOKUP(C121,fnEquipLibRange,4,FALSE),0),F121)),""))</f>
        <v/>
      </c>
      <c r="L121" s="103" t="str">
        <f>IF(F121*G121=0,"",IFERROR(IF(F121*G121*$D$98/$D$95&lt;VLOOKUP(C121,fnEquipLibRange,3,FALSE),VLOOKUP(C121,fnEquipLibRange,3,FALSE),F121*G121*$D$98/$D$95/MAX(ROUNDUP(F121*G121*$D$98/$D$95/VLOOKUP(C121,fnEquipLibRange,4,FALSE),0),F121)),""))</f>
        <v/>
      </c>
      <c r="M121" s="103"/>
      <c r="N121" s="104" t="str">
        <f>IF($K121="","",IFERROR($K121*fnEquipCostCorr*fnEquipCostIndex*fnEquipConstMaterial,""))</f>
        <v/>
      </c>
      <c r="O121" s="105" t="str">
        <f ca="1">IFERROR(fnEquipInstFactor*N121,"")</f>
        <v/>
      </c>
      <c r="P121" s="106" t="str">
        <f ca="1">IFERROR(fnEquipLaborFactor*K121,"")</f>
        <v/>
      </c>
      <c r="Q121" s="19"/>
      <c r="S121" s="95" t="str">
        <f t="shared" si="1"/>
        <v/>
      </c>
      <c r="T121" s="11" t="str">
        <f ca="1">IFERROR(IF(INDEX(fnEquipLibRange,fnEquipRowNum,39)="","",INDEX(fnEquipLibRange,fnEquipRowNum,39)),"")</f>
        <v/>
      </c>
    </row>
    <row r="122" spans="2:20" hidden="1" outlineLevel="1">
      <c r="B122" s="16"/>
      <c r="C122" s="69"/>
      <c r="D122" s="70"/>
      <c r="E122" s="70" t="str">
        <f ca="1">IFERROR(VLOOKUP(C122,fnEquipLibRange,16,FALSE),"")</f>
        <v/>
      </c>
      <c r="F122" s="70"/>
      <c r="G122" s="131"/>
      <c r="H122" s="107" t="str">
        <f ca="1">IFERROR(VLOOKUP(C122,fnEquipLibRange,2,FALSE),"")</f>
        <v/>
      </c>
      <c r="I122" s="101" t="str">
        <f>IF(ISBLANK(G122),"",IF(G122&lt;VLOOKUP(C122,fnEquipLibRange,3,FALSE),"&gt;&gt;&gt; Too Small &lt;&lt;&lt;",IF(G122&gt;VLOOKUP(C122,fnEquipLibRange,4,FALSE),"&gt;&gt;&gt; Too Large &lt;&lt;&lt;","Yes")))</f>
        <v/>
      </c>
      <c r="J122" s="101"/>
      <c r="K122" s="102" t="str">
        <f>IF(F122*G122=0,"",IFERROR(IF(F122*G122*$D$98/$D$95&lt;VLOOKUP(C122,fnEquipLibRange,3,FALSE),MAX(1,F122),MAX(ROUNDUP(F122*G122*$D$98/$D$95/VLOOKUP(C122,fnEquipLibRange,4,FALSE),0),F122)),""))</f>
        <v/>
      </c>
      <c r="L122" s="103" t="str">
        <f>IF(F122*G122=0,"",IFERROR(IF(F122*G122*$D$98/$D$95&lt;VLOOKUP(C122,fnEquipLibRange,3,FALSE),VLOOKUP(C122,fnEquipLibRange,3,FALSE),F122*G122*$D$98/$D$95/MAX(ROUNDUP(F122*G122*$D$98/$D$95/VLOOKUP(C122,fnEquipLibRange,4,FALSE),0),F122)),""))</f>
        <v/>
      </c>
      <c r="M122" s="103"/>
      <c r="N122" s="104" t="str">
        <f>IF($K122="","",IFERROR($K122*fnEquipCostCorr*fnEquipCostIndex*fnEquipConstMaterial,""))</f>
        <v/>
      </c>
      <c r="O122" s="105" t="str">
        <f ca="1">IFERROR(fnEquipInstFactor*N122,"")</f>
        <v/>
      </c>
      <c r="P122" s="106" t="str">
        <f ca="1">IFERROR(fnEquipLaborFactor*K122,"")</f>
        <v/>
      </c>
      <c r="Q122" s="19"/>
      <c r="S122" s="95" t="str">
        <f t="shared" si="1"/>
        <v/>
      </c>
      <c r="T122" s="11" t="str">
        <f ca="1">IFERROR(IF(INDEX(fnEquipLibRange,fnEquipRowNum,39)="","",INDEX(fnEquipLibRange,fnEquipRowNum,39)),"")</f>
        <v/>
      </c>
    </row>
    <row r="123" spans="2:20" ht="17" hidden="1" outlineLevel="1" thickBot="1">
      <c r="B123" s="21"/>
      <c r="C123" s="22"/>
      <c r="D123" s="22"/>
      <c r="E123" s="22"/>
      <c r="F123" s="22"/>
      <c r="G123" s="22"/>
      <c r="H123" s="22"/>
      <c r="I123" s="22"/>
      <c r="J123" s="22"/>
      <c r="K123" s="22"/>
      <c r="L123" s="100"/>
      <c r="M123" s="100"/>
      <c r="N123" s="22"/>
      <c r="O123" s="22"/>
      <c r="P123" s="22"/>
      <c r="Q123" s="23"/>
    </row>
    <row r="124" spans="2:20" ht="32" hidden="1" customHeight="1" outlineLevel="1">
      <c r="B124" s="429" t="str">
        <f>"Equipment Cost Totals: "&amp;C87</f>
        <v>Equipment Cost Totals: Metal Carbide on Metal Oxide</v>
      </c>
      <c r="C124" s="430"/>
      <c r="D124" s="430"/>
      <c r="E124" s="431"/>
    </row>
    <row r="125" spans="2:20" hidden="1" outlineLevel="1">
      <c r="B125" s="16"/>
      <c r="C125" s="17" t="str">
        <f>"Equipment Cost Totals for "&amp;C87</f>
        <v>Equipment Cost Totals for Metal Carbide on Metal Oxide</v>
      </c>
      <c r="D125" s="18"/>
      <c r="E125" s="19"/>
    </row>
    <row r="126" spans="2:20" hidden="1" outlineLevel="1">
      <c r="B126" s="16"/>
      <c r="C126" s="18"/>
      <c r="D126" s="163" t="s">
        <v>310</v>
      </c>
      <c r="E126" s="309">
        <f ca="1">SUM(N103:N122)</f>
        <v>2234363.1488989391</v>
      </c>
    </row>
    <row r="127" spans="2:20" hidden="1" outlineLevel="1">
      <c r="B127" s="16"/>
      <c r="C127" s="18"/>
      <c r="D127" s="163" t="s">
        <v>358</v>
      </c>
      <c r="E127" s="309">
        <f ca="1">SUM(O103:O122)</f>
        <v>3574602.2444926212</v>
      </c>
    </row>
    <row r="128" spans="2:20" hidden="1" outlineLevel="1">
      <c r="B128" s="16"/>
      <c r="C128" s="18"/>
      <c r="D128" s="163" t="s">
        <v>1004</v>
      </c>
      <c r="E128" s="310">
        <f ca="1">SUM(P103:P122)</f>
        <v>1.7500000000000007</v>
      </c>
    </row>
    <row r="129" spans="1:9" ht="17" hidden="1" outlineLevel="1" thickBot="1">
      <c r="B129" s="21"/>
      <c r="C129" s="22"/>
      <c r="D129" s="22"/>
      <c r="E129" s="23"/>
    </row>
    <row r="130" spans="1:9" ht="17" collapsed="1" thickBot="1">
      <c r="A130" s="314" t="str">
        <f>"&lt;– show/hide "&amp;B84</f>
        <v>&lt;– show/hide Process Template: Metal Carbide on Metal Oxide</v>
      </c>
    </row>
    <row r="131" spans="1:9" ht="21" thickBot="1">
      <c r="B131" s="355" t="str">
        <f>"Process Template: "&amp;C134</f>
        <v>Process Template: Nanoparticles - Flow Synthesis</v>
      </c>
      <c r="C131" s="356"/>
      <c r="D131" s="356"/>
      <c r="E131" s="356"/>
      <c r="F131" s="356"/>
      <c r="G131" s="357"/>
      <c r="I131" s="201"/>
    </row>
    <row r="132" spans="1:9" hidden="1" outlineLevel="1">
      <c r="B132" s="13"/>
      <c r="C132" s="14"/>
      <c r="D132" s="14"/>
      <c r="E132" s="14"/>
      <c r="F132" s="14"/>
      <c r="G132" s="15"/>
      <c r="I132" s="201"/>
    </row>
    <row r="133" spans="1:9" hidden="1" outlineLevel="1">
      <c r="B133" s="16"/>
      <c r="C133" s="17" t="s">
        <v>1058</v>
      </c>
      <c r="D133" s="18"/>
      <c r="E133" s="18"/>
      <c r="F133" s="18"/>
      <c r="G133" s="19"/>
      <c r="I133" s="201"/>
    </row>
    <row r="134" spans="1:9" hidden="1" outlineLevel="1">
      <c r="B134" s="16"/>
      <c r="C134" s="18" t="s">
        <v>1008</v>
      </c>
      <c r="D134" s="18"/>
      <c r="E134" s="18"/>
      <c r="F134" s="18"/>
      <c r="G134" s="19"/>
      <c r="I134" s="201"/>
    </row>
    <row r="135" spans="1:9" ht="17" hidden="1" outlineLevel="1" thickBot="1">
      <c r="B135" s="16"/>
      <c r="C135" s="18"/>
      <c r="D135" s="18"/>
      <c r="E135" s="18"/>
      <c r="F135" s="18"/>
      <c r="G135" s="19"/>
      <c r="I135" s="201"/>
    </row>
    <row r="136" spans="1:9" ht="32" hidden="1" customHeight="1" outlineLevel="1">
      <c r="B136" s="429" t="str">
        <f>"Scaling Inputs: "&amp;C134</f>
        <v>Scaling Inputs: Nanoparticles - Flow Synthesis</v>
      </c>
      <c r="C136" s="430"/>
      <c r="D136" s="430"/>
      <c r="E136" s="430"/>
      <c r="F136" s="430"/>
      <c r="G136" s="431"/>
      <c r="I136" s="201"/>
    </row>
    <row r="137" spans="1:9" hidden="1" outlineLevel="1">
      <c r="B137" s="16"/>
      <c r="C137" s="17" t="s">
        <v>1754</v>
      </c>
      <c r="D137" s="18"/>
      <c r="E137" s="18"/>
      <c r="F137" s="18"/>
      <c r="G137" s="19"/>
      <c r="I137" s="201"/>
    </row>
    <row r="138" spans="1:9" hidden="1" outlineLevel="1">
      <c r="B138" s="16"/>
      <c r="C138" s="138" t="s">
        <v>1755</v>
      </c>
      <c r="D138" s="177">
        <v>80</v>
      </c>
      <c r="E138" s="48" t="str">
        <f>IF(COUNTBLANK(D139:D141)&gt;0,"select units below",D139&amp;" "&amp;D140&amp;"/"&amp;D141)</f>
        <v>g active phase/hour</v>
      </c>
      <c r="F138" s="42" t="s">
        <v>162</v>
      </c>
      <c r="G138" s="19"/>
      <c r="I138" s="201"/>
    </row>
    <row r="139" spans="1:9" hidden="1" outlineLevel="1">
      <c r="B139" s="16"/>
      <c r="C139" s="138"/>
      <c r="D139" s="177" t="s">
        <v>74</v>
      </c>
      <c r="E139" s="48" t="s">
        <v>919</v>
      </c>
      <c r="F139" s="48"/>
      <c r="G139" s="19"/>
      <c r="I139" s="201"/>
    </row>
    <row r="140" spans="1:9" hidden="1" outlineLevel="1">
      <c r="B140" s="16"/>
      <c r="C140" s="138"/>
      <c r="D140" s="177" t="s">
        <v>1021</v>
      </c>
      <c r="E140" s="48" t="s">
        <v>921</v>
      </c>
      <c r="F140" s="42" t="s">
        <v>162</v>
      </c>
      <c r="G140" s="19"/>
      <c r="I140" s="201"/>
    </row>
    <row r="141" spans="1:9" hidden="1" outlineLevel="1">
      <c r="B141" s="16"/>
      <c r="C141" s="138"/>
      <c r="D141" s="177" t="s">
        <v>969</v>
      </c>
      <c r="E141" s="48" t="s">
        <v>920</v>
      </c>
      <c r="F141" s="42" t="s">
        <v>162</v>
      </c>
      <c r="G141" s="19"/>
      <c r="I141" s="201"/>
    </row>
    <row r="142" spans="1:9" hidden="1" outlineLevel="1">
      <c r="B142" s="16"/>
      <c r="C142" s="138" t="s">
        <v>1756</v>
      </c>
      <c r="D142" s="49">
        <f>IFERROR(D138*VLOOKUP(D139,UnitConv[],5,FALSE)/VLOOKUP(OutMassUnit,UnitConv[],5,FALSE)*IF(D140="active phase",100/APWeightPercent,1)/CHOOSE(MATCH(D141,{"hour","day","week","month","year"},0),1,24,24*7,7884/12,7884),"-----")</f>
        <v>0.17636980974790206</v>
      </c>
      <c r="E142" s="48" t="str">
        <f>OutMassUnit&amp;" catalyst/hour"</f>
        <v>lb catalyst/hour</v>
      </c>
      <c r="F142" s="48"/>
      <c r="G142" s="19"/>
      <c r="I142" s="201"/>
    </row>
    <row r="143" spans="1:9" hidden="1" outlineLevel="1">
      <c r="B143" s="16"/>
      <c r="C143" s="135"/>
      <c r="D143" s="99"/>
      <c r="E143" s="48"/>
      <c r="F143" s="48"/>
      <c r="G143" s="19"/>
      <c r="I143" s="201"/>
    </row>
    <row r="144" spans="1:9" hidden="1" outlineLevel="1">
      <c r="B144" s="16"/>
      <c r="C144" s="17" t="s">
        <v>1731</v>
      </c>
      <c r="D144" s="18"/>
      <c r="E144" s="18"/>
      <c r="F144" s="18"/>
      <c r="G144" s="19"/>
      <c r="I144" s="201"/>
    </row>
    <row r="145" spans="2:21" hidden="1" outlineLevel="1">
      <c r="B145" s="16"/>
      <c r="C145" s="138" t="s">
        <v>1753</v>
      </c>
      <c r="D145" s="49">
        <f>IF(DesignProductionRate=0,"-----",DesignProductionRate)</f>
        <v>12683.916793505834</v>
      </c>
      <c r="E145" s="48" t="str">
        <f>OutMassUnit&amp;" catalyst/hour"</f>
        <v>lb catalyst/hour</v>
      </c>
      <c r="F145" s="42" t="s">
        <v>162</v>
      </c>
      <c r="G145" s="19"/>
      <c r="I145" s="201"/>
    </row>
    <row r="146" spans="2:21" ht="17" hidden="1" outlineLevel="1" thickBot="1">
      <c r="B146" s="16"/>
      <c r="C146" s="18"/>
      <c r="D146" s="305"/>
      <c r="E146" s="18"/>
      <c r="F146" s="18"/>
      <c r="G146" s="19"/>
    </row>
    <row r="147" spans="2:21" s="308" customFormat="1" ht="32" hidden="1" customHeight="1" outlineLevel="1">
      <c r="B147" s="429" t="str">
        <f>"Equipment List: "&amp;C134</f>
        <v>Equipment List: Nanoparticles - Flow Synthesis</v>
      </c>
      <c r="C147" s="430"/>
      <c r="D147" s="430"/>
      <c r="E147" s="430"/>
      <c r="F147" s="430"/>
      <c r="G147" s="430"/>
      <c r="H147" s="306"/>
      <c r="I147" s="306"/>
      <c r="J147" s="306"/>
      <c r="K147" s="306"/>
      <c r="L147" s="306"/>
      <c r="M147" s="306"/>
      <c r="N147" s="306"/>
      <c r="O147" s="306"/>
      <c r="P147" s="306"/>
      <c r="Q147" s="307"/>
    </row>
    <row r="148" spans="2:21" ht="19" hidden="1" outlineLevel="1">
      <c r="B148" s="16"/>
      <c r="C148" s="427" t="s">
        <v>439</v>
      </c>
      <c r="D148" s="427"/>
      <c r="E148" s="427"/>
      <c r="F148" s="427"/>
      <c r="G148" s="427"/>
      <c r="H148" s="427"/>
      <c r="I148" s="427"/>
      <c r="J148" s="73"/>
      <c r="K148" s="427" t="s">
        <v>321</v>
      </c>
      <c r="L148" s="427"/>
      <c r="M148" s="73"/>
      <c r="N148" s="427" t="s">
        <v>322</v>
      </c>
      <c r="O148" s="427"/>
      <c r="P148" s="427"/>
      <c r="Q148" s="19"/>
      <c r="S148" s="428" t="s">
        <v>1007</v>
      </c>
      <c r="T148" s="428"/>
      <c r="U148" s="308"/>
    </row>
    <row r="149" spans="2:21" hidden="1" outlineLevel="1">
      <c r="B149" s="16"/>
      <c r="C149" s="64" t="s">
        <v>306</v>
      </c>
      <c r="D149" s="64" t="s">
        <v>312</v>
      </c>
      <c r="E149" s="64" t="s">
        <v>313</v>
      </c>
      <c r="F149" s="64" t="s">
        <v>309</v>
      </c>
      <c r="G149" s="64" t="s">
        <v>314</v>
      </c>
      <c r="H149" s="64" t="s">
        <v>307</v>
      </c>
      <c r="I149" s="64" t="s">
        <v>308</v>
      </c>
      <c r="J149" s="64"/>
      <c r="K149" s="64" t="s">
        <v>1083</v>
      </c>
      <c r="L149" s="64" t="s">
        <v>1084</v>
      </c>
      <c r="M149" s="64"/>
      <c r="N149" s="64" t="s">
        <v>310</v>
      </c>
      <c r="O149" s="64" t="s">
        <v>358</v>
      </c>
      <c r="P149" s="64" t="s">
        <v>311</v>
      </c>
      <c r="Q149" s="19"/>
      <c r="S149" s="311" t="s">
        <v>306</v>
      </c>
      <c r="T149" s="311" t="s">
        <v>207</v>
      </c>
      <c r="U149" s="308"/>
    </row>
    <row r="150" spans="2:21" hidden="1" outlineLevel="1">
      <c r="B150" s="16"/>
      <c r="C150" s="69" t="s">
        <v>814</v>
      </c>
      <c r="D150" s="70"/>
      <c r="E150" s="70" t="s">
        <v>785</v>
      </c>
      <c r="F150" s="70">
        <v>1</v>
      </c>
      <c r="G150" s="131">
        <v>1</v>
      </c>
      <c r="H150" s="107" t="str">
        <f ca="1">IFERROR(VLOOKUP(C150,fnEquipLibRange,2,FALSE),"")</f>
        <v>each</v>
      </c>
      <c r="I150" s="101" t="str">
        <f ca="1">IF(ISBLANK(G150),"",IF(G150&lt;VLOOKUP(C150,fnEquipLibRange,3,FALSE),"&gt;&gt;&gt; Too Small &lt;&lt;&lt;",IF(G150&gt;VLOOKUP(C150,fnEquipLibRange,4,FALSE),"&gt;&gt;&gt; Too Large &lt;&lt;&lt;","Yes")))</f>
        <v>Yes</v>
      </c>
      <c r="J150" s="101"/>
      <c r="K150" s="102">
        <f ca="1">IF(F150*G150=0,"",IFERROR(IF(F150*G150*$D$145/$D$142&lt;VLOOKUP(C150,fnEquipLibRange,3,FALSE),MAX(1,F150),MAX(ROUNDUP(F150*G150*$D$145/$D$142/VLOOKUP(C150,fnEquipLibRange,4,FALSE),0),F150)),""))</f>
        <v>71917</v>
      </c>
      <c r="L150" s="103">
        <f ca="1">IF(F150*G150=0,"",IFERROR(IF(F150*G150*$D$145/$D$142&lt;VLOOKUP(C150,fnEquipLibRange,3,FALSE),VLOOKUP(C150,fnEquipLibRange,3,FALSE),F150*G150*$D$145/$D$142/MAX(ROUNDUP(F150*G150*$D$145/$D$142/VLOOKUP(C150,fnEquipLibRange,4,FALSE),0),F150)),""))</f>
        <v>0.99999441704484204</v>
      </c>
      <c r="M150" s="103"/>
      <c r="N150" s="104">
        <f ca="1">IF($K150="","",IFERROR($K150*fnEquipCostCorr*fnEquipCostIndex*fnEquipConstMaterial,""))</f>
        <v>1235250443.6619718</v>
      </c>
      <c r="O150" s="105">
        <f ca="1">IFERROR(fnEquipInstFactor*N150,"")</f>
        <v>1235250443.6619718</v>
      </c>
      <c r="P150" s="106">
        <f ca="1">IFERROR(fnEquipLaborFactor*K150,"")</f>
        <v>17979.25</v>
      </c>
      <c r="Q150" s="19"/>
      <c r="S150" s="95" t="str">
        <f>IF(ISBLANK(C150),"",C150)</f>
        <v>Peristaltic pump</v>
      </c>
      <c r="T150" s="11" t="str">
        <f ca="1">IFERROR(IF(INDEX(fnEquipLibRange,fnEquipRowNum,39)="","",INDEX(fnEquipLibRange,fnEquipRowNum,39)),"")</f>
        <v>Serves 16 channels</v>
      </c>
      <c r="U150" s="308"/>
    </row>
    <row r="151" spans="2:21" hidden="1" outlineLevel="1">
      <c r="B151" s="16"/>
      <c r="C151" s="69" t="s">
        <v>799</v>
      </c>
      <c r="D151" s="70"/>
      <c r="E151" s="70" t="s">
        <v>785</v>
      </c>
      <c r="F151" s="70">
        <v>16</v>
      </c>
      <c r="G151" s="131">
        <v>1</v>
      </c>
      <c r="H151" s="107" t="str">
        <f ca="1">IFERROR(VLOOKUP(C151,fnEquipLibRange,2,FALSE),"")</f>
        <v>each</v>
      </c>
      <c r="I151" s="101" t="str">
        <f ca="1">IF(ISBLANK(G151),"",IF(G151&lt;VLOOKUP(C151,fnEquipLibRange,3,FALSE),"&gt;&gt;&gt; Too Small &lt;&lt;&lt;",IF(G151&gt;VLOOKUP(C151,fnEquipLibRange,4,FALSE),"&gt;&gt;&gt; Too Large &lt;&lt;&lt;","Yes")))</f>
        <v>Yes</v>
      </c>
      <c r="J151" s="101"/>
      <c r="K151" s="102">
        <f ca="1">IF(F151*G151=0,"",IFERROR(IF(F151*G151*$D$145/$D$142&lt;VLOOKUP(C151,fnEquipLibRange,3,FALSE),MAX(1,F151),MAX(ROUNDUP(F151*G151*$D$145/$D$142/VLOOKUP(C151,fnEquipLibRange,4,FALSE),0),F151)),""))</f>
        <v>1150666</v>
      </c>
      <c r="L151" s="103">
        <f ca="1">IF(F151*G151=0,"",IFERROR(IF(F151*G151*$D$145/$D$142&lt;VLOOKUP(C151,fnEquipLibRange,3,FALSE),VLOOKUP(C151,fnEquipLibRange,3,FALSE),F151*G151*$D$145/$D$142/MAX(ROUNDUP(F151*G151*$D$145/$D$142/VLOOKUP(C151,fnEquipLibRange,4,FALSE),0),F151)),""))</f>
        <v>0.99999963138723358</v>
      </c>
      <c r="M151" s="103"/>
      <c r="N151" s="104">
        <f ca="1">IF($K151="","",IFERROR($K151*fnEquipCostCorr*fnEquipCostIndex*fnEquipConstMaterial,""))</f>
        <v>101026489.49598593</v>
      </c>
      <c r="O151" s="105">
        <f ca="1">IFERROR(fnEquipInstFactor*N151,"")</f>
        <v>101026489.49598593</v>
      </c>
      <c r="P151" s="106">
        <f ca="1">IFERROR(fnEquipLaborFactor*K151,"")</f>
        <v>0</v>
      </c>
      <c r="Q151" s="19"/>
      <c r="S151" s="95" t="str">
        <f t="shared" ref="S151:S169" si="2">IF(ISBLANK(C151),"",C151)</f>
        <v>One-way valve</v>
      </c>
      <c r="T151" s="11" t="str">
        <f ca="1">IFERROR(IF(INDEX(fnEquipLibRange,fnEquipRowNum,39)="","",INDEX(fnEquipLibRange,fnEquipRowNum,39)),"")</f>
        <v>IDEX check valve</v>
      </c>
    </row>
    <row r="152" spans="2:21" hidden="1" outlineLevel="1">
      <c r="B152" s="16"/>
      <c r="C152" s="69" t="s">
        <v>800</v>
      </c>
      <c r="D152" s="70"/>
      <c r="E152" s="70" t="s">
        <v>785</v>
      </c>
      <c r="F152" s="70">
        <v>16</v>
      </c>
      <c r="G152" s="131">
        <v>1</v>
      </c>
      <c r="H152" s="107" t="str">
        <f ca="1">IFERROR(VLOOKUP(C152,fnEquipLibRange,2,FALSE),"")</f>
        <v>each</v>
      </c>
      <c r="I152" s="101" t="str">
        <f ca="1">IF(ISBLANK(G152),"",IF(G152&lt;VLOOKUP(C152,fnEquipLibRange,3,FALSE),"&gt;&gt;&gt; Too Small &lt;&lt;&lt;",IF(G152&gt;VLOOKUP(C152,fnEquipLibRange,4,FALSE),"&gt;&gt;&gt; Too Large &lt;&lt;&lt;","Yes")))</f>
        <v>Yes</v>
      </c>
      <c r="J152" s="101"/>
      <c r="K152" s="102">
        <f ca="1">IF(F152*G152=0,"",IFERROR(IF(F152*G152*$D$145/$D$142&lt;VLOOKUP(C152,fnEquipLibRange,3,FALSE),MAX(1,F152),MAX(ROUNDUP(F152*G152*$D$145/$D$142/VLOOKUP(C152,fnEquipLibRange,4,FALSE),0),F152)),""))</f>
        <v>1150666</v>
      </c>
      <c r="L152" s="103">
        <f ca="1">IF(F152*G152=0,"",IFERROR(IF(F152*G152*$D$145/$D$142&lt;VLOOKUP(C152,fnEquipLibRange,3,FALSE),VLOOKUP(C152,fnEquipLibRange,3,FALSE),F152*G152*$D$145/$D$142/MAX(ROUNDUP(F152*G152*$D$145/$D$142/VLOOKUP(C152,fnEquipLibRange,4,FALSE),0),F152)),""))</f>
        <v>0.99999963138723358</v>
      </c>
      <c r="M152" s="103"/>
      <c r="N152" s="104">
        <f ca="1">IF($K152="","",IFERROR($K152*fnEquipCostCorr*fnEquipCostIndex*fnEquipConstMaterial,""))</f>
        <v>66055359.28788732</v>
      </c>
      <c r="O152" s="105">
        <f ca="1">IFERROR(fnEquipInstFactor*N152,"")</f>
        <v>66055359.28788732</v>
      </c>
      <c r="P152" s="106">
        <f ca="1">IFERROR(fnEquipLaborFactor*K152,"")</f>
        <v>0</v>
      </c>
      <c r="Q152" s="19"/>
      <c r="S152" s="95" t="str">
        <f t="shared" si="2"/>
        <v>Needle valve</v>
      </c>
      <c r="T152" s="11" t="str">
        <f ca="1">IFERROR(IF(INDEX(fnEquipLibRange,fnEquipRowNum,39)="","",INDEX(fnEquipLibRange,fnEquipRowNum,39)),"")</f>
        <v>IDEX micro metering valve</v>
      </c>
    </row>
    <row r="153" spans="2:21" hidden="1" outlineLevel="1">
      <c r="B153" s="16"/>
      <c r="C153" s="69" t="s">
        <v>801</v>
      </c>
      <c r="D153" s="70"/>
      <c r="E153" s="70" t="s">
        <v>785</v>
      </c>
      <c r="F153" s="70">
        <v>1</v>
      </c>
      <c r="G153" s="131">
        <v>1</v>
      </c>
      <c r="H153" s="107" t="str">
        <f ca="1">IFERROR(VLOOKUP(C153,fnEquipLibRange,2,FALSE),"")</f>
        <v>each</v>
      </c>
      <c r="I153" s="101" t="str">
        <f ca="1">IF(ISBLANK(G153),"",IF(G153&lt;VLOOKUP(C153,fnEquipLibRange,3,FALSE),"&gt;&gt;&gt; Too Small &lt;&lt;&lt;",IF(G153&gt;VLOOKUP(C153,fnEquipLibRange,4,FALSE),"&gt;&gt;&gt; Too Large &lt;&lt;&lt;","Yes")))</f>
        <v>Yes</v>
      </c>
      <c r="J153" s="101"/>
      <c r="K153" s="102">
        <f ca="1">IF(F153*G153=0,"",IFERROR(IF(F153*G153*$D$145/$D$142&lt;VLOOKUP(C153,fnEquipLibRange,3,FALSE),MAX(1,F153),MAX(ROUNDUP(F153*G153*$D$145/$D$142/VLOOKUP(C153,fnEquipLibRange,4,FALSE),0),F153)),""))</f>
        <v>71917</v>
      </c>
      <c r="L153" s="103">
        <f ca="1">IF(F153*G153=0,"",IFERROR(IF(F153*G153*$D$145/$D$142&lt;VLOOKUP(C153,fnEquipLibRange,3,FALSE),VLOOKUP(C153,fnEquipLibRange,3,FALSE),F153*G153*$D$145/$D$142/MAX(ROUNDUP(F153*G153*$D$145/$D$142/VLOOKUP(C153,fnEquipLibRange,4,FALSE),0),F153)),""))</f>
        <v>0.99999441704484204</v>
      </c>
      <c r="M153" s="103"/>
      <c r="N153" s="104">
        <f ca="1">IF($K153="","",IFERROR($K153*fnEquipCostCorr*fnEquipCostIndex*fnEquipConstMaterial,""))</f>
        <v>6758878.6775704222</v>
      </c>
      <c r="O153" s="105">
        <f ca="1">IFERROR(fnEquipInstFactor*N153,"")</f>
        <v>6758878.6775704222</v>
      </c>
      <c r="P153" s="106">
        <f ca="1">IFERROR(fnEquipLaborFactor*K153,"")</f>
        <v>0</v>
      </c>
      <c r="Q153" s="19"/>
      <c r="S153" s="95" t="str">
        <f t="shared" si="2"/>
        <v>Pressure regulator 40 psi.</v>
      </c>
      <c r="T153" s="11" t="str">
        <f ca="1">IFERROR(IF(INDEX(fnEquipLibRange,fnEquipRowNum,39)="","",INDEX(fnEquipLibRange,fnEquipRowNum,39)),"")</f>
        <v>IDEX BPR assembly 40 psi,</v>
      </c>
    </row>
    <row r="154" spans="2:21" hidden="1" outlineLevel="1">
      <c r="B154" s="16"/>
      <c r="C154" s="69" t="s">
        <v>802</v>
      </c>
      <c r="D154" s="70"/>
      <c r="E154" s="70" t="s">
        <v>785</v>
      </c>
      <c r="F154" s="70">
        <v>1</v>
      </c>
      <c r="G154" s="131">
        <v>1</v>
      </c>
      <c r="H154" s="107" t="str">
        <f ca="1">IFERROR(VLOOKUP(C154,fnEquipLibRange,2,FALSE),"")</f>
        <v>each</v>
      </c>
      <c r="I154" s="101" t="str">
        <f ca="1">IF(ISBLANK(G154),"",IF(G154&lt;VLOOKUP(C154,fnEquipLibRange,3,FALSE),"&gt;&gt;&gt; Too Small &lt;&lt;&lt;",IF(G154&gt;VLOOKUP(C154,fnEquipLibRange,4,FALSE),"&gt;&gt;&gt; Too Large &lt;&lt;&lt;","Yes")))</f>
        <v>Yes</v>
      </c>
      <c r="J154" s="101"/>
      <c r="K154" s="102">
        <f ca="1">IF(F154*G154=0,"",IFERROR(IF(F154*G154*$D$145/$D$142&lt;VLOOKUP(C154,fnEquipLibRange,3,FALSE),MAX(1,F154),MAX(ROUNDUP(F154*G154*$D$145/$D$142/VLOOKUP(C154,fnEquipLibRange,4,FALSE),0),F154)),""))</f>
        <v>71917</v>
      </c>
      <c r="L154" s="103">
        <f ca="1">IF(F154*G154=0,"",IFERROR(IF(F154*G154*$D$145/$D$142&lt;VLOOKUP(C154,fnEquipLibRange,3,FALSE),VLOOKUP(C154,fnEquipLibRange,3,FALSE),F154*G154*$D$145/$D$142/MAX(ROUNDUP(F154*G154*$D$145/$D$142/VLOOKUP(C154,fnEquipLibRange,4,FALSE),0),F154)),""))</f>
        <v>0.99999441704484204</v>
      </c>
      <c r="M154" s="103"/>
      <c r="N154" s="104">
        <f ca="1">IF($K154="","",IFERROR($K154*fnEquipCostCorr*fnEquipCostIndex*fnEquipConstMaterial,""))</f>
        <v>4651404.1706338022</v>
      </c>
      <c r="O154" s="105">
        <f ca="1">IFERROR(fnEquipInstFactor*N154,"")</f>
        <v>4651404.1706338022</v>
      </c>
      <c r="P154" s="106">
        <f ca="1">IFERROR(fnEquipLaborFactor*K154,"")</f>
        <v>0</v>
      </c>
      <c r="Q154" s="19"/>
      <c r="S154" s="95" t="str">
        <f t="shared" si="2"/>
        <v>Pressure regulator 75 psi.</v>
      </c>
      <c r="T154" s="11" t="str">
        <f ca="1">IFERROR(IF(INDEX(fnEquipLibRange,fnEquipRowNum,39)="","",INDEX(fnEquipLibRange,fnEquipRowNum,39)),"")</f>
        <v>IDEX BPR cartridge 75 psi.</v>
      </c>
    </row>
    <row r="155" spans="2:21" hidden="1" outlineLevel="1">
      <c r="B155" s="16"/>
      <c r="C155" s="69" t="s">
        <v>803</v>
      </c>
      <c r="D155" s="70"/>
      <c r="E155" s="70" t="s">
        <v>785</v>
      </c>
      <c r="F155" s="70">
        <v>16</v>
      </c>
      <c r="G155" s="131">
        <v>1</v>
      </c>
      <c r="H155" s="107" t="str">
        <f ca="1">IFERROR(VLOOKUP(C155,fnEquipLibRange,2,FALSE),"")</f>
        <v>each</v>
      </c>
      <c r="I155" s="101" t="str">
        <f ca="1">IF(ISBLANK(G155),"",IF(G155&lt;VLOOKUP(C155,fnEquipLibRange,3,FALSE),"&gt;&gt;&gt; Too Small &lt;&lt;&lt;",IF(G155&gt;VLOOKUP(C155,fnEquipLibRange,4,FALSE),"&gt;&gt;&gt; Too Large &lt;&lt;&lt;","Yes")))</f>
        <v>Yes</v>
      </c>
      <c r="J155" s="101"/>
      <c r="K155" s="102">
        <f ca="1">IF(F155*G155=0,"",IFERROR(IF(F155*G155*$D$145/$D$142&lt;VLOOKUP(C155,fnEquipLibRange,3,FALSE),MAX(1,F155),MAX(ROUNDUP(F155*G155*$D$145/$D$142/VLOOKUP(C155,fnEquipLibRange,4,FALSE),0),F155)),""))</f>
        <v>1150666</v>
      </c>
      <c r="L155" s="103">
        <f ca="1">IF(F155*G155=0,"",IFERROR(IF(F155*G155*$D$145/$D$142&lt;VLOOKUP(C155,fnEquipLibRange,3,FALSE),VLOOKUP(C155,fnEquipLibRange,3,FALSE),F155*G155*$D$145/$D$142/MAX(ROUNDUP(F155*G155*$D$145/$D$142/VLOOKUP(C155,fnEquipLibRange,4,FALSE),0),F155)),""))</f>
        <v>0.99999963138723358</v>
      </c>
      <c r="M155" s="103"/>
      <c r="N155" s="104">
        <f ca="1">IF($K155="","",IFERROR($K155*fnEquipCostCorr*fnEquipCostIndex*fnEquipConstMaterial,""))</f>
        <v>40406203.819718301</v>
      </c>
      <c r="O155" s="105">
        <f ca="1">IFERROR(fnEquipInstFactor*N155,"")</f>
        <v>40406203.819718301</v>
      </c>
      <c r="P155" s="106">
        <f ca="1">IFERROR(fnEquipLaborFactor*K155,"")</f>
        <v>0</v>
      </c>
      <c r="Q155" s="19"/>
      <c r="S155" s="95" t="str">
        <f t="shared" si="2"/>
        <v>Metal luer lock adaptor</v>
      </c>
      <c r="T155" s="11" t="str">
        <f ca="1">IFERROR(IF(INDEX(fnEquipLibRange,fnEquipRowNum,39)="","",INDEX(fnEquipLibRange,fnEquipRowNum,39)),"")</f>
        <v>McMaster 5194K34</v>
      </c>
    </row>
    <row r="156" spans="2:21" hidden="1" outlineLevel="1">
      <c r="B156" s="16"/>
      <c r="C156" s="69" t="s">
        <v>811</v>
      </c>
      <c r="D156" s="70"/>
      <c r="E156" s="70" t="s">
        <v>785</v>
      </c>
      <c r="F156" s="70">
        <v>16</v>
      </c>
      <c r="G156" s="131">
        <v>1</v>
      </c>
      <c r="H156" s="107" t="str">
        <f ca="1">IFERROR(VLOOKUP(C156,fnEquipLibRange,2,FALSE),"")</f>
        <v>each</v>
      </c>
      <c r="I156" s="101" t="str">
        <f ca="1">IF(ISBLANK(G156),"",IF(G156&lt;VLOOKUP(C156,fnEquipLibRange,3,FALSE),"&gt;&gt;&gt; Too Small &lt;&lt;&lt;",IF(G156&gt;VLOOKUP(C156,fnEquipLibRange,4,FALSE),"&gt;&gt;&gt; Too Large &lt;&lt;&lt;","Yes")))</f>
        <v>Yes</v>
      </c>
      <c r="J156" s="101"/>
      <c r="K156" s="102">
        <f ca="1">IF(F156*G156=0,"",IFERROR(IF(F156*G156*$D$145/$D$142&lt;VLOOKUP(C156,fnEquipLibRange,3,FALSE),MAX(1,F156),MAX(ROUNDUP(F156*G156*$D$145/$D$142/VLOOKUP(C156,fnEquipLibRange,4,FALSE),0),F156)),""))</f>
        <v>1150666</v>
      </c>
      <c r="L156" s="103">
        <f ca="1">IF(F156*G156=0,"",IFERROR(IF(F156*G156*$D$145/$D$142&lt;VLOOKUP(C156,fnEquipLibRange,3,FALSE),VLOOKUP(C156,fnEquipLibRange,3,FALSE),F156*G156*$D$145/$D$142/MAX(ROUNDUP(F156*G156*$D$145/$D$142/VLOOKUP(C156,fnEquipLibRange,4,FALSE),0),F156)),""))</f>
        <v>0.99999963138723358</v>
      </c>
      <c r="M156" s="103"/>
      <c r="N156" s="104">
        <f ca="1">IF($K156="","",IFERROR($K156*fnEquipCostCorr*fnEquipCostIndex*fnEquipConstMaterial,""))</f>
        <v>4611577.6098591546</v>
      </c>
      <c r="O156" s="105">
        <f ca="1">IFERROR(fnEquipInstFactor*N156,"")</f>
        <v>4611577.6098591546</v>
      </c>
      <c r="P156" s="106">
        <f ca="1">IFERROR(fnEquipLaborFactor*K156,"")</f>
        <v>0</v>
      </c>
      <c r="Q156" s="19"/>
      <c r="S156" s="95" t="str">
        <f t="shared" si="2"/>
        <v>Glass reactor tube</v>
      </c>
      <c r="T156" s="11" t="str">
        <f ca="1">IFERROR(IF(INDEX(fnEquipLibRange,fnEquipRowNum,39)="","",INDEX(fnEquipLibRange,fnEquipRowNum,39)),"")</f>
        <v>FisherScientific S37608 pk of 25</v>
      </c>
    </row>
    <row r="157" spans="2:21" hidden="1" outlineLevel="1">
      <c r="B157" s="16"/>
      <c r="C157" s="69" t="s">
        <v>805</v>
      </c>
      <c r="D157" s="70"/>
      <c r="E157" s="70" t="s">
        <v>785</v>
      </c>
      <c r="F157" s="70">
        <v>16</v>
      </c>
      <c r="G157" s="131">
        <v>1</v>
      </c>
      <c r="H157" s="107" t="str">
        <f ca="1">IFERROR(VLOOKUP(C157,fnEquipLibRange,2,FALSE),"")</f>
        <v>each</v>
      </c>
      <c r="I157" s="101" t="str">
        <f ca="1">IF(ISBLANK(G157),"",IF(G157&lt;VLOOKUP(C157,fnEquipLibRange,3,FALSE),"&gt;&gt;&gt; Too Small &lt;&lt;&lt;",IF(G157&gt;VLOOKUP(C157,fnEquipLibRange,4,FALSE),"&gt;&gt;&gt; Too Large &lt;&lt;&lt;","Yes")))</f>
        <v>Yes</v>
      </c>
      <c r="J157" s="101"/>
      <c r="K157" s="102">
        <f ca="1">IF(F157*G157=0,"",IFERROR(IF(F157*G157*$D$145/$D$142&lt;VLOOKUP(C157,fnEquipLibRange,3,FALSE),MAX(1,F157),MAX(ROUNDUP(F157*G157*$D$145/$D$142/VLOOKUP(C157,fnEquipLibRange,4,FALSE),0),F157)),""))</f>
        <v>1150666</v>
      </c>
      <c r="L157" s="103">
        <f ca="1">IF(F157*G157=0,"",IFERROR(IF(F157*G157*$D$145/$D$142&lt;VLOOKUP(C157,fnEquipLibRange,3,FALSE),VLOOKUP(C157,fnEquipLibRange,3,FALSE),F157*G157*$D$145/$D$142/MAX(ROUNDUP(F157*G157*$D$145/$D$142/VLOOKUP(C157,fnEquipLibRange,4,FALSE),0),F157)),""))</f>
        <v>0.99999963138723358</v>
      </c>
      <c r="M157" s="103"/>
      <c r="N157" s="104">
        <f ca="1">IF($K157="","",IFERROR($K157*fnEquipCostCorr*fnEquipCostIndex*fnEquipConstMaterial,""))</f>
        <v>1048584908.9084506</v>
      </c>
      <c r="O157" s="105">
        <f ca="1">IFERROR(fnEquipInstFactor*N157,"")</f>
        <v>1048584908.9084506</v>
      </c>
      <c r="P157" s="106">
        <f ca="1">IFERROR(fnEquipLaborFactor*K157,"")</f>
        <v>0</v>
      </c>
      <c r="Q157" s="19"/>
      <c r="S157" s="95" t="str">
        <f t="shared" si="2"/>
        <v>Temperature controller 2</v>
      </c>
      <c r="T157" s="11" t="str">
        <f ca="1">IFERROR(IF(INDEX(fnEquipLibRange,fnEquipRowNum,39)="","",INDEX(fnEquipLibRange,fnEquipRowNum,39)),"")</f>
        <v>J-Kem Model 210</v>
      </c>
    </row>
    <row r="158" spans="2:21" hidden="1" outlineLevel="1">
      <c r="B158" s="16"/>
      <c r="C158" s="69" t="s">
        <v>806</v>
      </c>
      <c r="D158" s="70"/>
      <c r="E158" s="70" t="s">
        <v>785</v>
      </c>
      <c r="F158" s="70">
        <v>16</v>
      </c>
      <c r="G158" s="131">
        <v>1</v>
      </c>
      <c r="H158" s="107" t="str">
        <f ca="1">IFERROR(VLOOKUP(C158,fnEquipLibRange,2,FALSE),"")</f>
        <v>each</v>
      </c>
      <c r="I158" s="101" t="str">
        <f ca="1">IF(ISBLANK(G158),"",IF(G158&lt;VLOOKUP(C158,fnEquipLibRange,3,FALSE),"&gt;&gt;&gt; Too Small &lt;&lt;&lt;",IF(G158&gt;VLOOKUP(C158,fnEquipLibRange,4,FALSE),"&gt;&gt;&gt; Too Large &lt;&lt;&lt;","Yes")))</f>
        <v>Yes</v>
      </c>
      <c r="J158" s="101"/>
      <c r="K158" s="102">
        <f ca="1">IF(F158*G158=0,"",IFERROR(IF(F158*G158*$D$145/$D$142&lt;VLOOKUP(C158,fnEquipLibRange,3,FALSE),MAX(1,F158),MAX(ROUNDUP(F158*G158*$D$145/$D$142/VLOOKUP(C158,fnEquipLibRange,4,FALSE),0),F158)),""))</f>
        <v>1150666</v>
      </c>
      <c r="L158" s="103">
        <f ca="1">IF(F158*G158=0,"",IFERROR(IF(F158*G158*$D$145/$D$142&lt;VLOOKUP(C158,fnEquipLibRange,3,FALSE),VLOOKUP(C158,fnEquipLibRange,3,FALSE),F158*G158*$D$145/$D$142/MAX(ROUNDUP(F158*G158*$D$145/$D$142/VLOOKUP(C158,fnEquipLibRange,4,FALSE),0),F158)),""))</f>
        <v>0.99999963138723358</v>
      </c>
      <c r="M158" s="103"/>
      <c r="N158" s="104">
        <f ca="1">IF($K158="","",IFERROR($K158*fnEquipCostCorr*fnEquipCostIndex*fnEquipConstMaterial,""))</f>
        <v>74663637.492957741</v>
      </c>
      <c r="O158" s="105">
        <f ca="1">IFERROR(fnEquipInstFactor*N158,"")</f>
        <v>74663637.492957741</v>
      </c>
      <c r="P158" s="106">
        <f ca="1">IFERROR(fnEquipLaborFactor*K158,"")</f>
        <v>0</v>
      </c>
      <c r="Q158" s="19"/>
      <c r="S158" s="95" t="str">
        <f t="shared" si="2"/>
        <v>Type J/K thermocouple</v>
      </c>
      <c r="T158" s="11" t="str">
        <f ca="1">IFERROR(IF(INDEX(fnEquipLibRange,fnEquipRowNum,39)="","",INDEX(fnEquipLibRange,fnEquipRowNum,39)),"")</f>
        <v>J-Kem thermocouple</v>
      </c>
    </row>
    <row r="159" spans="2:21" hidden="1" outlineLevel="1">
      <c r="B159" s="16"/>
      <c r="C159" s="69" t="s">
        <v>807</v>
      </c>
      <c r="D159" s="70"/>
      <c r="E159" s="70" t="s">
        <v>785</v>
      </c>
      <c r="F159" s="70">
        <v>16</v>
      </c>
      <c r="G159" s="131">
        <v>1</v>
      </c>
      <c r="H159" s="107" t="str">
        <f ca="1">IFERROR(VLOOKUP(C159,fnEquipLibRange,2,FALSE),"")</f>
        <v>each</v>
      </c>
      <c r="I159" s="101" t="str">
        <f ca="1">IF(ISBLANK(G159),"",IF(G159&lt;VLOOKUP(C159,fnEquipLibRange,3,FALSE),"&gt;&gt;&gt; Too Small &lt;&lt;&lt;",IF(G159&gt;VLOOKUP(C159,fnEquipLibRange,4,FALSE),"&gt;&gt;&gt; Too Large &lt;&lt;&lt;","Yes")))</f>
        <v>Yes</v>
      </c>
      <c r="J159" s="101"/>
      <c r="K159" s="102">
        <f ca="1">IF(F159*G159=0,"",IFERROR(IF(F159*G159*$D$145/$D$142&lt;VLOOKUP(C159,fnEquipLibRange,3,FALSE),MAX(1,F159),MAX(ROUNDUP(F159*G159*$D$145/$D$142/VLOOKUP(C159,fnEquipLibRange,4,FALSE),0),F159)),""))</f>
        <v>1150666</v>
      </c>
      <c r="L159" s="103">
        <f ca="1">IF(F159*G159=0,"",IFERROR(IF(F159*G159*$D$145/$D$142&lt;VLOOKUP(C159,fnEquipLibRange,3,FALSE),VLOOKUP(C159,fnEquipLibRange,3,FALSE),F159*G159*$D$145/$D$142/MAX(ROUNDUP(F159*G159*$D$145/$D$142/VLOOKUP(C159,fnEquipLibRange,4,FALSE),0),F159)),""))</f>
        <v>0.99999963138723358</v>
      </c>
      <c r="M159" s="103"/>
      <c r="N159" s="104">
        <f ca="1">IF($K159="","",IFERROR($K159*fnEquipCostCorr*fnEquipCostIndex*fnEquipConstMaterial,""))</f>
        <v>147131285.64788732</v>
      </c>
      <c r="O159" s="105">
        <f ca="1">IFERROR(fnEquipInstFactor*N159,"")</f>
        <v>147131285.64788732</v>
      </c>
      <c r="P159" s="106">
        <f ca="1">IFERROR(fnEquipLaborFactor*K159,"")</f>
        <v>0</v>
      </c>
      <c r="Q159" s="19"/>
      <c r="S159" s="95" t="str">
        <f t="shared" si="2"/>
        <v>Type J/K connecting cable</v>
      </c>
      <c r="T159" s="11" t="str">
        <f ca="1">IFERROR(IF(INDEX(fnEquipLibRange,fnEquipRowNum,39)="","",INDEX(fnEquipLibRange,fnEquipRowNum,39)),"")</f>
        <v>J-Kem Type J connecting cable</v>
      </c>
    </row>
    <row r="160" spans="2:21" hidden="1" outlineLevel="1">
      <c r="B160" s="16"/>
      <c r="C160" s="69" t="s">
        <v>808</v>
      </c>
      <c r="D160" s="70"/>
      <c r="E160" s="70" t="s">
        <v>785</v>
      </c>
      <c r="F160" s="70">
        <v>16</v>
      </c>
      <c r="G160" s="131">
        <v>1</v>
      </c>
      <c r="H160" s="107" t="str">
        <f ca="1">IFERROR(VLOOKUP(C160,fnEquipLibRange,2,FALSE),"")</f>
        <v>each</v>
      </c>
      <c r="I160" s="101" t="str">
        <f ca="1">IF(ISBLANK(G160),"",IF(G160&lt;VLOOKUP(C160,fnEquipLibRange,3,FALSE),"&gt;&gt;&gt; Too Small &lt;&lt;&lt;",IF(G160&gt;VLOOKUP(C160,fnEquipLibRange,4,FALSE),"&gt;&gt;&gt; Too Large &lt;&lt;&lt;","Yes")))</f>
        <v>Yes</v>
      </c>
      <c r="J160" s="101"/>
      <c r="K160" s="102">
        <f ca="1">IF(F160*G160=0,"",IFERROR(IF(F160*G160*$D$145/$D$142&lt;VLOOKUP(C160,fnEquipLibRange,3,FALSE),MAX(1,F160),MAX(ROUNDUP(F160*G160*$D$145/$D$142/VLOOKUP(C160,fnEquipLibRange,4,FALSE),0),F160)),""))</f>
        <v>1150666</v>
      </c>
      <c r="L160" s="103">
        <f ca="1">IF(F160*G160=0,"",IFERROR(IF(F160*G160*$D$145/$D$142&lt;VLOOKUP(C160,fnEquipLibRange,3,FALSE),VLOOKUP(C160,fnEquipLibRange,3,FALSE),F160*G160*$D$145/$D$142/MAX(ROUNDUP(F160*G160*$D$145/$D$142/VLOOKUP(C160,fnEquipLibRange,4,FALSE),0),F160)),""))</f>
        <v>0.99999963138723358</v>
      </c>
      <c r="M160" s="103"/>
      <c r="N160" s="104">
        <f ca="1">IF($K160="","",IFERROR($K160*fnEquipCostCorr*fnEquipCostIndex*fnEquipConstMaterial,""))</f>
        <v>451275808.96478873</v>
      </c>
      <c r="O160" s="105">
        <f ca="1">IFERROR(fnEquipInstFactor*N160,"")</f>
        <v>451275808.96478873</v>
      </c>
      <c r="P160" s="106">
        <f ca="1">IFERROR(fnEquipLaborFactor*K160,"")</f>
        <v>0</v>
      </c>
      <c r="Q160" s="19"/>
      <c r="S160" s="95" t="str">
        <f t="shared" si="2"/>
        <v>Heating mantle 1</v>
      </c>
      <c r="T160" s="11" t="str">
        <f ca="1">IFERROR(IF(INDEX(fnEquipLibRange,fnEquipRowNum,39)="","",INDEX(fnEquipLibRange,fnEquipRowNum,39)),"")</f>
        <v>Glas-Co 100A O580</v>
      </c>
    </row>
    <row r="161" spans="2:20" hidden="1" outlineLevel="1">
      <c r="B161" s="16"/>
      <c r="C161" s="69" t="s">
        <v>816</v>
      </c>
      <c r="D161" s="70"/>
      <c r="E161" s="70" t="s">
        <v>785</v>
      </c>
      <c r="F161" s="70">
        <v>16</v>
      </c>
      <c r="G161" s="131">
        <v>1</v>
      </c>
      <c r="H161" s="107" t="str">
        <f ca="1">IFERROR(VLOOKUP(C161,fnEquipLibRange,2,FALSE),"")</f>
        <v>each</v>
      </c>
      <c r="I161" s="101" t="str">
        <f ca="1">IF(ISBLANK(G161),"",IF(G161&lt;VLOOKUP(C161,fnEquipLibRange,3,FALSE),"&gt;&gt;&gt; Too Small &lt;&lt;&lt;",IF(G161&gt;VLOOKUP(C161,fnEquipLibRange,4,FALSE),"&gt;&gt;&gt; Too Large &lt;&lt;&lt;","Yes")))</f>
        <v>Yes</v>
      </c>
      <c r="J161" s="101"/>
      <c r="K161" s="102">
        <f ca="1">IF(F161*G161=0,"",IFERROR(IF(F161*G161*$D$145/$D$142&lt;VLOOKUP(C161,fnEquipLibRange,3,FALSE),MAX(1,F161),MAX(ROUNDUP(F161*G161*$D$145/$D$142/VLOOKUP(C161,fnEquipLibRange,4,FALSE),0),F161)),""))</f>
        <v>1150666</v>
      </c>
      <c r="L161" s="103">
        <f ca="1">IF(F161*G161=0,"",IFERROR(IF(F161*G161*$D$145/$D$142&lt;VLOOKUP(C161,fnEquipLibRange,3,FALSE),VLOOKUP(C161,fnEquipLibRange,3,FALSE),F161*G161*$D$145/$D$142/MAX(ROUNDUP(F161*G161*$D$145/$D$142/VLOOKUP(C161,fnEquipLibRange,4,FALSE),0),F161)),""))</f>
        <v>0.99999963138723358</v>
      </c>
      <c r="M161" s="103"/>
      <c r="N161" s="104">
        <f ca="1">IF($K161="","",IFERROR($K161*fnEquipCostCorr*fnEquipCostIndex*fnEquipConstMaterial,""))</f>
        <v>16469920.035211267</v>
      </c>
      <c r="O161" s="105">
        <f ca="1">IFERROR(fnEquipInstFactor*N161,"")</f>
        <v>16469920.035211267</v>
      </c>
      <c r="P161" s="106">
        <f ca="1">IFERROR(fnEquipLaborFactor*K161,"")</f>
        <v>0</v>
      </c>
      <c r="Q161" s="19"/>
      <c r="S161" s="95" t="str">
        <f t="shared" si="2"/>
        <v>Millifluidic mixer</v>
      </c>
      <c r="T161" s="11" t="str">
        <f ca="1">IFERROR(IF(INDEX(fnEquipLibRange,fnEquipRowNum,39)="","",INDEX(fnEquipLibRange,fnEquipRowNum,39)),"")</f>
        <v/>
      </c>
    </row>
    <row r="162" spans="2:20" hidden="1" outlineLevel="1">
      <c r="B162" s="16"/>
      <c r="C162" s="69" t="s">
        <v>817</v>
      </c>
      <c r="D162" s="70"/>
      <c r="E162" s="70" t="s">
        <v>785</v>
      </c>
      <c r="F162" s="70">
        <v>16</v>
      </c>
      <c r="G162" s="131">
        <v>1</v>
      </c>
      <c r="H162" s="107" t="str">
        <f ca="1">IFERROR(VLOOKUP(C162,fnEquipLibRange,2,FALSE),"")</f>
        <v>each</v>
      </c>
      <c r="I162" s="101" t="str">
        <f ca="1">IF(ISBLANK(G162),"",IF(G162&lt;VLOOKUP(C162,fnEquipLibRange,3,FALSE),"&gt;&gt;&gt; Too Small &lt;&lt;&lt;",IF(G162&gt;VLOOKUP(C162,fnEquipLibRange,4,FALSE),"&gt;&gt;&gt; Too Large &lt;&lt;&lt;","Yes")))</f>
        <v>Yes</v>
      </c>
      <c r="J162" s="101"/>
      <c r="K162" s="102">
        <f ca="1">IF(F162*G162=0,"",IFERROR(IF(F162*G162*$D$145/$D$142&lt;VLOOKUP(C162,fnEquipLibRange,3,FALSE),MAX(1,F162),MAX(ROUNDUP(F162*G162*$D$145/$D$142/VLOOKUP(C162,fnEquipLibRange,4,FALSE),0),F162)),""))</f>
        <v>1150666</v>
      </c>
      <c r="L162" s="103">
        <f ca="1">IF(F162*G162=0,"",IFERROR(IF(F162*G162*$D$145/$D$142&lt;VLOOKUP(C162,fnEquipLibRange,3,FALSE),VLOOKUP(C162,fnEquipLibRange,3,FALSE),F162*G162*$D$145/$D$142/MAX(ROUNDUP(F162*G162*$D$145/$D$142/VLOOKUP(C162,fnEquipLibRange,4,FALSE),0),F162)),""))</f>
        <v>0.99999963138723358</v>
      </c>
      <c r="M162" s="103"/>
      <c r="N162" s="104">
        <f ca="1">IF($K162="","",IFERROR($K162*fnEquipCostCorr*fnEquipCostIndex*fnEquipConstMaterial,""))</f>
        <v>54899733.450704224</v>
      </c>
      <c r="O162" s="105">
        <f ca="1">IFERROR(fnEquipInstFactor*N162,"")</f>
        <v>54899733.450704224</v>
      </c>
      <c r="P162" s="106">
        <f ca="1">IFERROR(fnEquipLaborFactor*K162,"")</f>
        <v>0</v>
      </c>
      <c r="Q162" s="19"/>
      <c r="S162" s="95" t="str">
        <f t="shared" si="2"/>
        <v>Millifluidic droplet forming mixer</v>
      </c>
      <c r="T162" s="11" t="str">
        <f ca="1">IFERROR(IF(INDEX(fnEquipLibRange,fnEquipRowNum,39)="","",INDEX(fnEquipLibRange,fnEquipRowNum,39)),"")</f>
        <v/>
      </c>
    </row>
    <row r="163" spans="2:20" hidden="1" outlineLevel="1">
      <c r="B163" s="16"/>
      <c r="C163" s="69" t="s">
        <v>810</v>
      </c>
      <c r="D163" s="70"/>
      <c r="E163" s="70" t="s">
        <v>785</v>
      </c>
      <c r="F163" s="70">
        <v>1</v>
      </c>
      <c r="G163" s="131">
        <v>2</v>
      </c>
      <c r="H163" s="107" t="str">
        <f ca="1">IFERROR(VLOOKUP(C163,fnEquipLibRange,2,FALSE),"")</f>
        <v>lb</v>
      </c>
      <c r="I163" s="101" t="str">
        <f ca="1">IF(ISBLANK(G163),"",IF(G163&lt;VLOOKUP(C163,fnEquipLibRange,3,FALSE),"&gt;&gt;&gt; Too Small &lt;&lt;&lt;",IF(G163&gt;VLOOKUP(C163,fnEquipLibRange,4,FALSE),"&gt;&gt;&gt; Too Large &lt;&lt;&lt;","Yes")))</f>
        <v>Yes</v>
      </c>
      <c r="J163" s="101"/>
      <c r="K163" s="102">
        <f ca="1">IF(F163*G163=0,"",IFERROR(IF(F163*G163*$D$145/$D$142&lt;VLOOKUP(C163,fnEquipLibRange,3,FALSE),MAX(1,F163),MAX(ROUNDUP(F163*G163*$D$145/$D$142/VLOOKUP(C163,fnEquipLibRange,4,FALSE),0),F163)),""))</f>
        <v>1</v>
      </c>
      <c r="L163" s="103">
        <f ca="1">IF(F163*G163=0,"",IFERROR(IF(F163*G163*$D$145/$D$142&lt;VLOOKUP(C163,fnEquipLibRange,3,FALSE),VLOOKUP(C163,fnEquipLibRange,3,FALSE),F163*G163*$D$145/$D$142/MAX(ROUNDUP(F163*G163*$D$145/$D$142/VLOOKUP(C163,fnEquipLibRange,4,FALSE),0),F163)),""))</f>
        <v>143833.19698122781</v>
      </c>
      <c r="M163" s="103"/>
      <c r="N163" s="104">
        <f ca="1">IF($K163="","",IFERROR($K163*fnEquipCostCorr*fnEquipCostIndex*fnEquipConstMaterial,""))</f>
        <v>8234.9569820942397</v>
      </c>
      <c r="O163" s="105">
        <f ca="1">IFERROR(fnEquipInstFactor*N163,"")</f>
        <v>8234.9569820942397</v>
      </c>
      <c r="P163" s="106">
        <f ca="1">IFERROR(fnEquipLaborFactor*K163,"")</f>
        <v>0</v>
      </c>
      <c r="Q163" s="19"/>
      <c r="S163" s="95" t="str">
        <f t="shared" si="2"/>
        <v>Sand</v>
      </c>
      <c r="T163" s="11" t="str">
        <f ca="1">IFERROR(IF(INDEX(fnEquipLibRange,fnEquipRowNum,39)="","",INDEX(fnEquipLibRange,fnEquipRowNum,39)),"")</f>
        <v/>
      </c>
    </row>
    <row r="164" spans="2:20" hidden="1" outlineLevel="1">
      <c r="B164" s="16"/>
      <c r="C164" s="69" t="s">
        <v>1017</v>
      </c>
      <c r="D164" s="70"/>
      <c r="E164" s="70" t="s">
        <v>785</v>
      </c>
      <c r="F164" s="70">
        <v>1</v>
      </c>
      <c r="G164" s="131">
        <v>1</v>
      </c>
      <c r="H164" s="107" t="str">
        <f ca="1">IFERROR(VLOOKUP(C164,fnEquipLibRange,2,FALSE),"")</f>
        <v>each</v>
      </c>
      <c r="I164" s="101" t="str">
        <f ca="1">IF(ISBLANK(G164),"",IF(G164&lt;VLOOKUP(C164,fnEquipLibRange,3,FALSE),"&gt;&gt;&gt; Too Small &lt;&lt;&lt;",IF(G164&gt;VLOOKUP(C164,fnEquipLibRange,4,FALSE),"&gt;&gt;&gt; Too Large &lt;&lt;&lt;","Yes")))</f>
        <v>Yes</v>
      </c>
      <c r="J164" s="101"/>
      <c r="K164" s="102">
        <f ca="1">IF(F164*G164=0,"",IFERROR(IF(F164*G164*$D$145/$D$142&lt;VLOOKUP(C164,fnEquipLibRange,3,FALSE),MAX(1,F164),MAX(ROUNDUP(F164*G164*$D$145/$D$142/VLOOKUP(C164,fnEquipLibRange,4,FALSE),0),F164)),""))</f>
        <v>71917</v>
      </c>
      <c r="L164" s="103">
        <f ca="1">IF(F164*G164=0,"",IFERROR(IF(F164*G164*$D$145/$D$142&lt;VLOOKUP(C164,fnEquipLibRange,3,FALSE),VLOOKUP(C164,fnEquipLibRange,3,FALSE),F164*G164*$D$145/$D$142/MAX(ROUNDUP(F164*G164*$D$145/$D$142/VLOOKUP(C164,fnEquipLibRange,4,FALSE),0),F164)),""))</f>
        <v>0.99999441704484204</v>
      </c>
      <c r="M164" s="103"/>
      <c r="N164" s="104">
        <f ca="1">IF($K164="","",IFERROR($K164*fnEquipCostCorr*fnEquipCostIndex*fnEquipConstMaterial,""))</f>
        <v>171562561.61971831</v>
      </c>
      <c r="O164" s="105">
        <f ca="1">IFERROR(fnEquipInstFactor*N164,"")</f>
        <v>171562561.61971831</v>
      </c>
      <c r="P164" s="106">
        <f ca="1">IFERROR(fnEquipLaborFactor*K164,"")</f>
        <v>0</v>
      </c>
      <c r="Q164" s="19"/>
      <c r="S164" s="95" t="str">
        <f t="shared" si="2"/>
        <v>Centrifuge (lab)</v>
      </c>
      <c r="T164" s="11" t="str">
        <f ca="1">IFERROR(IF(INDEX(fnEquipLibRange,fnEquipRowNum,39)="","",INDEX(fnEquipLibRange,fnEquipRowNum,39)),"")</f>
        <v/>
      </c>
    </row>
    <row r="165" spans="2:20" hidden="1" outlineLevel="1">
      <c r="B165" s="16"/>
      <c r="C165" s="69"/>
      <c r="D165" s="70"/>
      <c r="E165" s="70" t="str">
        <f ca="1">IFERROR(VLOOKUP(C165,fnEquipLibRange,16,FALSE),"")</f>
        <v/>
      </c>
      <c r="F165" s="70"/>
      <c r="G165" s="131"/>
      <c r="H165" s="107" t="str">
        <f ca="1">IFERROR(VLOOKUP(C165,fnEquipLibRange,2,FALSE),"")</f>
        <v/>
      </c>
      <c r="I165" s="101" t="str">
        <f>IF(ISBLANK(G165),"",IF(G165&lt;VLOOKUP(C165,fnEquipLibRange,3,FALSE),"&gt;&gt;&gt; Too Small &lt;&lt;&lt;",IF(G165&gt;VLOOKUP(C165,fnEquipLibRange,4,FALSE),"&gt;&gt;&gt; Too Large &lt;&lt;&lt;","Yes")))</f>
        <v/>
      </c>
      <c r="J165" s="101"/>
      <c r="K165" s="102" t="str">
        <f>IF(F165*G165=0,"",IFERROR(IF(F165*G165*$D$145/$D$142&lt;VLOOKUP(C165,fnEquipLibRange,3,FALSE),MAX(1,F165),MAX(ROUNDUP(F165*G165*$D$145/$D$142/VLOOKUP(C165,fnEquipLibRange,4,FALSE),0),F165)),""))</f>
        <v/>
      </c>
      <c r="L165" s="103" t="str">
        <f>IF(F165*G165=0,"",IFERROR(IF(F165*G165*$D$145/$D$142&lt;VLOOKUP(C165,fnEquipLibRange,3,FALSE),VLOOKUP(C165,fnEquipLibRange,3,FALSE),F165*G165*$D$145/$D$142/MAX(ROUNDUP(F165*G165*$D$145/$D$142/VLOOKUP(C165,fnEquipLibRange,4,FALSE),0),F165)),""))</f>
        <v/>
      </c>
      <c r="M165" s="103"/>
      <c r="N165" s="104" t="str">
        <f>IF($K165="","",IFERROR($K165*fnEquipCostCorr*fnEquipCostIndex*fnEquipConstMaterial,""))</f>
        <v/>
      </c>
      <c r="O165" s="105" t="str">
        <f ca="1">IFERROR(fnEquipInstFactor*N165,"")</f>
        <v/>
      </c>
      <c r="P165" s="106" t="str">
        <f ca="1">IFERROR(fnEquipLaborFactor*K165,"")</f>
        <v/>
      </c>
      <c r="Q165" s="19"/>
      <c r="S165" s="95" t="str">
        <f t="shared" si="2"/>
        <v/>
      </c>
      <c r="T165" s="11" t="str">
        <f ca="1">IFERROR(IF(INDEX(fnEquipLibRange,fnEquipRowNum,39)="","",INDEX(fnEquipLibRange,fnEquipRowNum,39)),"")</f>
        <v/>
      </c>
    </row>
    <row r="166" spans="2:20" hidden="1" outlineLevel="1">
      <c r="B166" s="16"/>
      <c r="C166" s="69"/>
      <c r="D166" s="70"/>
      <c r="E166" s="70" t="str">
        <f ca="1">IFERROR(VLOOKUP(C166,fnEquipLibRange,16,FALSE),"")</f>
        <v/>
      </c>
      <c r="F166" s="70"/>
      <c r="G166" s="131"/>
      <c r="H166" s="107" t="str">
        <f ca="1">IFERROR(VLOOKUP(C166,fnEquipLibRange,2,FALSE),"")</f>
        <v/>
      </c>
      <c r="I166" s="101" t="str">
        <f>IF(ISBLANK(G166),"",IF(G166&lt;VLOOKUP(C166,fnEquipLibRange,3,FALSE),"&gt;&gt;&gt; Too Small &lt;&lt;&lt;",IF(G166&gt;VLOOKUP(C166,fnEquipLibRange,4,FALSE),"&gt;&gt;&gt; Too Large &lt;&lt;&lt;","Yes")))</f>
        <v/>
      </c>
      <c r="J166" s="101"/>
      <c r="K166" s="102" t="str">
        <f>IF(F166*G166=0,"",IFERROR(IF(F166*G166*$D$145/$D$142&lt;VLOOKUP(C166,fnEquipLibRange,3,FALSE),MAX(1,F166),MAX(ROUNDUP(F166*G166*$D$145/$D$142/VLOOKUP(C166,fnEquipLibRange,4,FALSE),0),F166)),""))</f>
        <v/>
      </c>
      <c r="L166" s="103" t="str">
        <f>IF(F166*G166=0,"",IFERROR(IF(F166*G166*$D$145/$D$142&lt;VLOOKUP(C166,fnEquipLibRange,3,FALSE),VLOOKUP(C166,fnEquipLibRange,3,FALSE),F166*G166*$D$145/$D$142/MAX(ROUNDUP(F166*G166*$D$145/$D$142/VLOOKUP(C166,fnEquipLibRange,4,FALSE),0),F166)),""))</f>
        <v/>
      </c>
      <c r="M166" s="103"/>
      <c r="N166" s="104" t="str">
        <f>IF($K166="","",IFERROR($K166*fnEquipCostCorr*fnEquipCostIndex*fnEquipConstMaterial,""))</f>
        <v/>
      </c>
      <c r="O166" s="105" t="str">
        <f ca="1">IFERROR(fnEquipInstFactor*N166,"")</f>
        <v/>
      </c>
      <c r="P166" s="106" t="str">
        <f ca="1">IFERROR(fnEquipLaborFactor*K166,"")</f>
        <v/>
      </c>
      <c r="Q166" s="19"/>
      <c r="S166" s="95" t="str">
        <f t="shared" si="2"/>
        <v/>
      </c>
      <c r="T166" s="11" t="str">
        <f ca="1">IFERROR(IF(INDEX(fnEquipLibRange,fnEquipRowNum,39)="","",INDEX(fnEquipLibRange,fnEquipRowNum,39)),"")</f>
        <v/>
      </c>
    </row>
    <row r="167" spans="2:20" hidden="1" outlineLevel="1">
      <c r="B167" s="16"/>
      <c r="C167" s="69"/>
      <c r="D167" s="70"/>
      <c r="E167" s="70" t="str">
        <f ca="1">IFERROR(VLOOKUP(C167,fnEquipLibRange,16,FALSE),"")</f>
        <v/>
      </c>
      <c r="F167" s="70"/>
      <c r="G167" s="131"/>
      <c r="H167" s="107" t="str">
        <f ca="1">IFERROR(VLOOKUP(C167,fnEquipLibRange,2,FALSE),"")</f>
        <v/>
      </c>
      <c r="I167" s="101" t="str">
        <f>IF(ISBLANK(G167),"",IF(G167&lt;VLOOKUP(C167,fnEquipLibRange,3,FALSE),"&gt;&gt;&gt; Too Small &lt;&lt;&lt;",IF(G167&gt;VLOOKUP(C167,fnEquipLibRange,4,FALSE),"&gt;&gt;&gt; Too Large &lt;&lt;&lt;","Yes")))</f>
        <v/>
      </c>
      <c r="J167" s="101"/>
      <c r="K167" s="102" t="str">
        <f>IF(F167*G167=0,"",IFERROR(IF(F167*G167*$D$145/$D$142&lt;VLOOKUP(C167,fnEquipLibRange,3,FALSE),MAX(1,F167),MAX(ROUNDUP(F167*G167*$D$145/$D$142/VLOOKUP(C167,fnEquipLibRange,4,FALSE),0),F167)),""))</f>
        <v/>
      </c>
      <c r="L167" s="103" t="str">
        <f>IF(F167*G167=0,"",IFERROR(IF(F167*G167*$D$145/$D$142&lt;VLOOKUP(C167,fnEquipLibRange,3,FALSE),VLOOKUP(C167,fnEquipLibRange,3,FALSE),F167*G167*$D$145/$D$142/MAX(ROUNDUP(F167*G167*$D$145/$D$142/VLOOKUP(C167,fnEquipLibRange,4,FALSE),0),F167)),""))</f>
        <v/>
      </c>
      <c r="M167" s="103"/>
      <c r="N167" s="104" t="str">
        <f>IF($K167="","",IFERROR($K167*fnEquipCostCorr*fnEquipCostIndex*fnEquipConstMaterial,""))</f>
        <v/>
      </c>
      <c r="O167" s="105" t="str">
        <f ca="1">IFERROR(fnEquipInstFactor*N167,"")</f>
        <v/>
      </c>
      <c r="P167" s="106" t="str">
        <f ca="1">IFERROR(fnEquipLaborFactor*K167,"")</f>
        <v/>
      </c>
      <c r="Q167" s="19"/>
      <c r="S167" s="95" t="str">
        <f t="shared" si="2"/>
        <v/>
      </c>
      <c r="T167" s="11" t="str">
        <f ca="1">IFERROR(IF(INDEX(fnEquipLibRange,fnEquipRowNum,39)="","",INDEX(fnEquipLibRange,fnEquipRowNum,39)),"")</f>
        <v/>
      </c>
    </row>
    <row r="168" spans="2:20" hidden="1" outlineLevel="1">
      <c r="B168" s="16"/>
      <c r="C168" s="69"/>
      <c r="D168" s="70"/>
      <c r="E168" s="70" t="str">
        <f ca="1">IFERROR(VLOOKUP(C168,fnEquipLibRange,16,FALSE),"")</f>
        <v/>
      </c>
      <c r="F168" s="70"/>
      <c r="G168" s="131"/>
      <c r="H168" s="107" t="str">
        <f ca="1">IFERROR(VLOOKUP(C168,fnEquipLibRange,2,FALSE),"")</f>
        <v/>
      </c>
      <c r="I168" s="101" t="str">
        <f>IF(ISBLANK(G168),"",IF(G168&lt;VLOOKUP(C168,fnEquipLibRange,3,FALSE),"&gt;&gt;&gt; Too Small &lt;&lt;&lt;",IF(G168&gt;VLOOKUP(C168,fnEquipLibRange,4,FALSE),"&gt;&gt;&gt; Too Large &lt;&lt;&lt;","Yes")))</f>
        <v/>
      </c>
      <c r="J168" s="101"/>
      <c r="K168" s="102" t="str">
        <f>IF(F168*G168=0,"",IFERROR(IF(F168*G168*$D$145/$D$142&lt;VLOOKUP(C168,fnEquipLibRange,3,FALSE),MAX(1,F168),MAX(ROUNDUP(F168*G168*$D$145/$D$142/VLOOKUP(C168,fnEquipLibRange,4,FALSE),0),F168)),""))</f>
        <v/>
      </c>
      <c r="L168" s="103" t="str">
        <f>IF(F168*G168=0,"",IFERROR(IF(F168*G168*$D$145/$D$142&lt;VLOOKUP(C168,fnEquipLibRange,3,FALSE),VLOOKUP(C168,fnEquipLibRange,3,FALSE),F168*G168*$D$145/$D$142/MAX(ROUNDUP(F168*G168*$D$145/$D$142/VLOOKUP(C168,fnEquipLibRange,4,FALSE),0),F168)),""))</f>
        <v/>
      </c>
      <c r="M168" s="103"/>
      <c r="N168" s="104" t="str">
        <f>IF($K168="","",IFERROR($K168*fnEquipCostCorr*fnEquipCostIndex*fnEquipConstMaterial,""))</f>
        <v/>
      </c>
      <c r="O168" s="105" t="str">
        <f ca="1">IFERROR(fnEquipInstFactor*N168,"")</f>
        <v/>
      </c>
      <c r="P168" s="106" t="str">
        <f ca="1">IFERROR(fnEquipLaborFactor*K168,"")</f>
        <v/>
      </c>
      <c r="Q168" s="19"/>
      <c r="S168" s="95" t="str">
        <f t="shared" si="2"/>
        <v/>
      </c>
      <c r="T168" s="11" t="str">
        <f ca="1">IFERROR(IF(INDEX(fnEquipLibRange,fnEquipRowNum,39)="","",INDEX(fnEquipLibRange,fnEquipRowNum,39)),"")</f>
        <v/>
      </c>
    </row>
    <row r="169" spans="2:20" hidden="1" outlineLevel="1">
      <c r="B169" s="16"/>
      <c r="C169" s="69"/>
      <c r="D169" s="70"/>
      <c r="E169" s="70" t="str">
        <f ca="1">IFERROR(VLOOKUP(C169,fnEquipLibRange,16,FALSE),"")</f>
        <v/>
      </c>
      <c r="F169" s="70"/>
      <c r="G169" s="131"/>
      <c r="H169" s="107" t="str">
        <f ca="1">IFERROR(VLOOKUP(C169,fnEquipLibRange,2,FALSE),"")</f>
        <v/>
      </c>
      <c r="I169" s="101" t="str">
        <f>IF(ISBLANK(G169),"",IF(G169&lt;VLOOKUP(C169,fnEquipLibRange,3,FALSE),"&gt;&gt;&gt; Too Small &lt;&lt;&lt;",IF(G169&gt;VLOOKUP(C169,fnEquipLibRange,4,FALSE),"&gt;&gt;&gt; Too Large &lt;&lt;&lt;","Yes")))</f>
        <v/>
      </c>
      <c r="J169" s="101"/>
      <c r="K169" s="102" t="str">
        <f>IF(F169*G169=0,"",IFERROR(IF(F169*G169*$D$145/$D$142&lt;VLOOKUP(C169,fnEquipLibRange,3,FALSE),MAX(1,F169),MAX(ROUNDUP(F169*G169*$D$145/$D$142/VLOOKUP(C169,fnEquipLibRange,4,FALSE),0),F169)),""))</f>
        <v/>
      </c>
      <c r="L169" s="103" t="str">
        <f>IF(F169*G169=0,"",IFERROR(IF(F169*G169*$D$145/$D$142&lt;VLOOKUP(C169,fnEquipLibRange,3,FALSE),VLOOKUP(C169,fnEquipLibRange,3,FALSE),F169*G169*$D$145/$D$142/MAX(ROUNDUP(F169*G169*$D$145/$D$142/VLOOKUP(C169,fnEquipLibRange,4,FALSE),0),F169)),""))</f>
        <v/>
      </c>
      <c r="M169" s="103"/>
      <c r="N169" s="104" t="str">
        <f>IF($K169="","",IFERROR($K169*fnEquipCostCorr*fnEquipCostIndex*fnEquipConstMaterial,""))</f>
        <v/>
      </c>
      <c r="O169" s="105" t="str">
        <f ca="1">IFERROR(fnEquipInstFactor*N169,"")</f>
        <v/>
      </c>
      <c r="P169" s="106" t="str">
        <f ca="1">IFERROR(fnEquipLaborFactor*K169,"")</f>
        <v/>
      </c>
      <c r="Q169" s="19"/>
      <c r="S169" s="95" t="str">
        <f t="shared" si="2"/>
        <v/>
      </c>
      <c r="T169" s="11" t="str">
        <f ca="1">IFERROR(IF(INDEX(fnEquipLibRange,fnEquipRowNum,39)="","",INDEX(fnEquipLibRange,fnEquipRowNum,39)),"")</f>
        <v/>
      </c>
    </row>
    <row r="170" spans="2:20" ht="17" hidden="1" outlineLevel="1" thickBot="1">
      <c r="B170" s="21"/>
      <c r="C170" s="22"/>
      <c r="D170" s="22"/>
      <c r="E170" s="22"/>
      <c r="F170" s="22"/>
      <c r="G170" s="22"/>
      <c r="H170" s="22"/>
      <c r="I170" s="22"/>
      <c r="J170" s="22"/>
      <c r="K170" s="22"/>
      <c r="L170" s="100"/>
      <c r="M170" s="100"/>
      <c r="N170" s="22"/>
      <c r="O170" s="22"/>
      <c r="P170" s="22"/>
      <c r="Q170" s="23"/>
    </row>
    <row r="171" spans="2:20" ht="32" hidden="1" customHeight="1" outlineLevel="1">
      <c r="B171" s="429" t="str">
        <f>"Equipment Cost Totals: "&amp;C134</f>
        <v>Equipment Cost Totals: Nanoparticles - Flow Synthesis</v>
      </c>
      <c r="C171" s="430"/>
      <c r="D171" s="430"/>
      <c r="E171" s="431"/>
    </row>
    <row r="172" spans="2:20" hidden="1" outlineLevel="1">
      <c r="B172" s="16"/>
      <c r="C172" s="17" t="str">
        <f>"Equipment Cost Totals for "&amp;C134</f>
        <v>Equipment Cost Totals for Nanoparticles - Flow Synthesis</v>
      </c>
      <c r="D172" s="18"/>
      <c r="E172" s="19"/>
    </row>
    <row r="173" spans="2:20" hidden="1" outlineLevel="1">
      <c r="B173" s="16"/>
      <c r="C173" s="18"/>
      <c r="D173" s="163" t="s">
        <v>310</v>
      </c>
      <c r="E173" s="309">
        <f ca="1">SUM(N150:N169)</f>
        <v>3423356447.8003263</v>
      </c>
    </row>
    <row r="174" spans="2:20" hidden="1" outlineLevel="1">
      <c r="B174" s="16"/>
      <c r="C174" s="18"/>
      <c r="D174" s="163" t="s">
        <v>358</v>
      </c>
      <c r="E174" s="309">
        <f ca="1">SUM(O150:O169)</f>
        <v>3423356447.8003263</v>
      </c>
    </row>
    <row r="175" spans="2:20" hidden="1" outlineLevel="1">
      <c r="B175" s="16"/>
      <c r="C175" s="18"/>
      <c r="D175" s="163" t="s">
        <v>1004</v>
      </c>
      <c r="E175" s="310">
        <f ca="1">SUM(P150:P169)</f>
        <v>17979.25</v>
      </c>
    </row>
    <row r="176" spans="2:20" ht="17" hidden="1" outlineLevel="1" thickBot="1">
      <c r="B176" s="21"/>
      <c r="C176" s="22"/>
      <c r="D176" s="22"/>
      <c r="E176" s="23"/>
    </row>
    <row r="177" spans="1:9" ht="17" collapsed="1" thickBot="1">
      <c r="A177" s="314" t="str">
        <f>"&lt;– show/hide "&amp;B131</f>
        <v>&lt;– show/hide Process Template: Nanoparticles - Flow Synthesis</v>
      </c>
    </row>
    <row r="178" spans="1:9" ht="21" thickBot="1">
      <c r="B178" s="355" t="str">
        <f>"Process Template: "&amp;C181</f>
        <v>Process Template: Wet Impregnation - Metal on Metal Oxide</v>
      </c>
      <c r="C178" s="356"/>
      <c r="D178" s="356"/>
      <c r="E178" s="356"/>
      <c r="F178" s="356"/>
      <c r="G178" s="357"/>
      <c r="I178" s="201"/>
    </row>
    <row r="179" spans="1:9" hidden="1" outlineLevel="1">
      <c r="B179" s="13"/>
      <c r="C179" s="14"/>
      <c r="D179" s="14"/>
      <c r="E179" s="14"/>
      <c r="F179" s="14"/>
      <c r="G179" s="15"/>
      <c r="I179" s="201"/>
    </row>
    <row r="180" spans="1:9" hidden="1" outlineLevel="1">
      <c r="B180" s="16"/>
      <c r="C180" s="17" t="s">
        <v>1058</v>
      </c>
      <c r="D180" s="18"/>
      <c r="E180" s="18"/>
      <c r="F180" s="18"/>
      <c r="G180" s="19"/>
      <c r="I180" s="201"/>
    </row>
    <row r="181" spans="1:9" hidden="1" outlineLevel="1">
      <c r="B181" s="16"/>
      <c r="C181" s="18" t="s">
        <v>1009</v>
      </c>
      <c r="D181" s="18"/>
      <c r="E181" s="18"/>
      <c r="F181" s="18"/>
      <c r="G181" s="19"/>
      <c r="I181" s="201"/>
    </row>
    <row r="182" spans="1:9" ht="17" hidden="1" outlineLevel="1" thickBot="1">
      <c r="B182" s="16"/>
      <c r="C182" s="18"/>
      <c r="D182" s="18"/>
      <c r="E182" s="18"/>
      <c r="F182" s="18"/>
      <c r="G182" s="19"/>
      <c r="I182" s="201"/>
    </row>
    <row r="183" spans="1:9" ht="32" hidden="1" customHeight="1" outlineLevel="1">
      <c r="B183" s="429" t="str">
        <f>"Scaling Inputs: "&amp;C181</f>
        <v>Scaling Inputs: Wet Impregnation - Metal on Metal Oxide</v>
      </c>
      <c r="C183" s="430"/>
      <c r="D183" s="430"/>
      <c r="E183" s="430"/>
      <c r="F183" s="430"/>
      <c r="G183" s="431"/>
      <c r="I183" s="201"/>
    </row>
    <row r="184" spans="1:9" hidden="1" outlineLevel="1">
      <c r="B184" s="16"/>
      <c r="C184" s="17" t="s">
        <v>1754</v>
      </c>
      <c r="D184" s="18"/>
      <c r="E184" s="18"/>
      <c r="F184" s="18"/>
      <c r="G184" s="19"/>
      <c r="I184" s="201"/>
    </row>
    <row r="185" spans="1:9" hidden="1" outlineLevel="1">
      <c r="B185" s="16"/>
      <c r="C185" s="138" t="s">
        <v>1755</v>
      </c>
      <c r="D185" s="177">
        <v>1000</v>
      </c>
      <c r="E185" s="48" t="str">
        <f>IF(COUNTBLANK(D186:D188)&gt;0,"select units below",D186&amp;" "&amp;D187&amp;"/"&amp;D188)</f>
        <v>kg catalyst/hour</v>
      </c>
      <c r="F185" s="42" t="s">
        <v>162</v>
      </c>
      <c r="G185" s="19"/>
      <c r="I185" s="201"/>
    </row>
    <row r="186" spans="1:9" hidden="1" outlineLevel="1">
      <c r="B186" s="16"/>
      <c r="C186" s="138"/>
      <c r="D186" s="177" t="s">
        <v>71</v>
      </c>
      <c r="E186" s="48" t="s">
        <v>919</v>
      </c>
      <c r="F186" s="48"/>
      <c r="G186" s="19"/>
      <c r="I186" s="201"/>
    </row>
    <row r="187" spans="1:9" hidden="1" outlineLevel="1">
      <c r="B187" s="16"/>
      <c r="C187" s="138"/>
      <c r="D187" s="177" t="s">
        <v>922</v>
      </c>
      <c r="E187" s="48" t="s">
        <v>921</v>
      </c>
      <c r="F187" s="42" t="s">
        <v>162</v>
      </c>
      <c r="G187" s="19"/>
      <c r="I187" s="201"/>
    </row>
    <row r="188" spans="1:9" hidden="1" outlineLevel="1">
      <c r="B188" s="16"/>
      <c r="C188" s="138"/>
      <c r="D188" s="177" t="s">
        <v>969</v>
      </c>
      <c r="E188" s="48" t="s">
        <v>920</v>
      </c>
      <c r="F188" s="42" t="s">
        <v>162</v>
      </c>
      <c r="G188" s="19"/>
      <c r="I188" s="201"/>
    </row>
    <row r="189" spans="1:9" hidden="1" outlineLevel="1">
      <c r="B189" s="16"/>
      <c r="C189" s="138" t="s">
        <v>1756</v>
      </c>
      <c r="D189" s="49">
        <f>IFERROR(D185*VLOOKUP(D186,UnitConv[],5,FALSE)/VLOOKUP(OutMassUnit,UnitConv[],5,FALSE)*IF(D187="active phase",100/APWeightPercent,1)/CHOOSE(MATCH(D188,{"hour","day","week","month","year"},0),1,24,24*7,7884/12,7884),"-----")</f>
        <v>2204.6226218487759</v>
      </c>
      <c r="E189" s="48" t="str">
        <f>OutMassUnit&amp;" catalyst/hour"</f>
        <v>lb catalyst/hour</v>
      </c>
      <c r="F189" s="48"/>
      <c r="G189" s="19"/>
      <c r="I189" s="201"/>
    </row>
    <row r="190" spans="1:9" hidden="1" outlineLevel="1">
      <c r="B190" s="16"/>
      <c r="C190" s="135"/>
      <c r="D190" s="99"/>
      <c r="E190" s="48"/>
      <c r="F190" s="48"/>
      <c r="G190" s="19"/>
      <c r="I190" s="201"/>
    </row>
    <row r="191" spans="1:9" hidden="1" outlineLevel="1">
      <c r="B191" s="16"/>
      <c r="C191" s="17" t="s">
        <v>1731</v>
      </c>
      <c r="D191" s="18"/>
      <c r="E191" s="18"/>
      <c r="F191" s="18"/>
      <c r="G191" s="19"/>
      <c r="I191" s="201"/>
    </row>
    <row r="192" spans="1:9" hidden="1" outlineLevel="1">
      <c r="B192" s="16"/>
      <c r="C192" s="138" t="s">
        <v>1753</v>
      </c>
      <c r="D192" s="49">
        <f>IF(DesignProductionRate=0,"-----",DesignProductionRate)</f>
        <v>12683.916793505834</v>
      </c>
      <c r="E192" s="48" t="str">
        <f>OutMassUnit&amp;" catalyst/hour"</f>
        <v>lb catalyst/hour</v>
      </c>
      <c r="F192" s="42" t="s">
        <v>162</v>
      </c>
      <c r="G192" s="19"/>
      <c r="I192" s="201"/>
    </row>
    <row r="193" spans="2:21" ht="17" hidden="1" outlineLevel="1" thickBot="1">
      <c r="B193" s="16"/>
      <c r="C193" s="18"/>
      <c r="D193" s="305"/>
      <c r="E193" s="18"/>
      <c r="F193" s="18"/>
      <c r="G193" s="19"/>
    </row>
    <row r="194" spans="2:21" s="308" customFormat="1" ht="32" hidden="1" customHeight="1" outlineLevel="1">
      <c r="B194" s="429" t="str">
        <f>"Equipment List: "&amp;C181</f>
        <v>Equipment List: Wet Impregnation - Metal on Metal Oxide</v>
      </c>
      <c r="C194" s="430"/>
      <c r="D194" s="430"/>
      <c r="E194" s="430"/>
      <c r="F194" s="430"/>
      <c r="G194" s="430"/>
      <c r="H194" s="306"/>
      <c r="I194" s="306"/>
      <c r="J194" s="306"/>
      <c r="K194" s="306"/>
      <c r="L194" s="306"/>
      <c r="M194" s="306"/>
      <c r="N194" s="306"/>
      <c r="O194" s="306"/>
      <c r="P194" s="306"/>
      <c r="Q194" s="307"/>
    </row>
    <row r="195" spans="2:21" ht="19" hidden="1" outlineLevel="1">
      <c r="B195" s="16"/>
      <c r="C195" s="427" t="s">
        <v>439</v>
      </c>
      <c r="D195" s="427"/>
      <c r="E195" s="427"/>
      <c r="F195" s="427"/>
      <c r="G195" s="427"/>
      <c r="H195" s="427"/>
      <c r="I195" s="427"/>
      <c r="J195" s="73"/>
      <c r="K195" s="427" t="s">
        <v>321</v>
      </c>
      <c r="L195" s="427"/>
      <c r="M195" s="73"/>
      <c r="N195" s="427" t="s">
        <v>322</v>
      </c>
      <c r="O195" s="427"/>
      <c r="P195" s="427"/>
      <c r="Q195" s="19"/>
      <c r="S195" s="428" t="s">
        <v>1007</v>
      </c>
      <c r="T195" s="428"/>
      <c r="U195" s="308"/>
    </row>
    <row r="196" spans="2:21" hidden="1" outlineLevel="1">
      <c r="B196" s="16"/>
      <c r="C196" s="64" t="s">
        <v>306</v>
      </c>
      <c r="D196" s="64" t="s">
        <v>312</v>
      </c>
      <c r="E196" s="64" t="s">
        <v>313</v>
      </c>
      <c r="F196" s="64" t="s">
        <v>309</v>
      </c>
      <c r="G196" s="64" t="s">
        <v>314</v>
      </c>
      <c r="H196" s="64" t="s">
        <v>307</v>
      </c>
      <c r="I196" s="64" t="s">
        <v>308</v>
      </c>
      <c r="J196" s="64"/>
      <c r="K196" s="64" t="s">
        <v>1083</v>
      </c>
      <c r="L196" s="64" t="s">
        <v>1084</v>
      </c>
      <c r="M196" s="64"/>
      <c r="N196" s="64" t="s">
        <v>310</v>
      </c>
      <c r="O196" s="64" t="s">
        <v>358</v>
      </c>
      <c r="P196" s="64" t="s">
        <v>311</v>
      </c>
      <c r="Q196" s="19"/>
      <c r="S196" s="311" t="s">
        <v>306</v>
      </c>
      <c r="T196" s="311" t="s">
        <v>207</v>
      </c>
      <c r="U196" s="308"/>
    </row>
    <row r="197" spans="2:21" hidden="1" outlineLevel="1">
      <c r="B197" s="16"/>
      <c r="C197" s="69" t="s">
        <v>574</v>
      </c>
      <c r="D197" s="70" t="s">
        <v>963</v>
      </c>
      <c r="E197" s="70" t="str">
        <f ca="1">IFERROR(VLOOKUP(C197,fnEquipLibRange,16,FALSE),"")</f>
        <v>Carbon steel</v>
      </c>
      <c r="F197" s="70">
        <v>1</v>
      </c>
      <c r="G197" s="131">
        <v>53.318100000000001</v>
      </c>
      <c r="H197" s="107" t="str">
        <f ca="1">IFERROR(VLOOKUP(C197,fnEquipLibRange,2,FALSE),"")</f>
        <v>Volume, ft3</v>
      </c>
      <c r="I197" s="101" t="str">
        <f ca="1">IF(ISBLANK(G197),"",IF(G197&lt;VLOOKUP(C197,fnEquipLibRange,3,FALSE),"&gt;&gt;&gt; Too Small &lt;&lt;&lt;",IF(G197&gt;VLOOKUP(C197,fnEquipLibRange,4,FALSE),"&gt;&gt;&gt; Too Large &lt;&lt;&lt;","Yes")))</f>
        <v>Yes</v>
      </c>
      <c r="J197" s="101"/>
      <c r="K197" s="102">
        <f ca="1">IF(F197*G197=0,"",IFERROR(IF(F197*G197*$D$192/$D$189&lt;VLOOKUP(C197,fnEquipLibRange,3,FALSE),MAX(1,F197),MAX(ROUNDUP(F197*G197*$D$192/$D$189/VLOOKUP(C197,fnEquipLibRange,4,FALSE),0),F197)),""))</f>
        <v>1</v>
      </c>
      <c r="L197" s="103">
        <f ca="1">IF(F197*G197=0,"",IFERROR(IF(F197*G197*$D$192/$D$189&lt;VLOOKUP(C197,fnEquipLibRange,3,FALSE),VLOOKUP(C197,fnEquipLibRange,3,FALSE),F197*G197*$D$192/$D$189/MAX(ROUNDUP(F197*G197*$D$192/$D$189/VLOOKUP(C197,fnEquipLibRange,4,FALSE),0),F197)),""))</f>
        <v>306.75651119859208</v>
      </c>
      <c r="M197" s="103"/>
      <c r="N197" s="104">
        <f ca="1">IF($K197="","",IFERROR($K197*fnEquipCostCorr*fnEquipCostIndex*fnEquipConstMaterial,""))</f>
        <v>8601.4939647616429</v>
      </c>
      <c r="O197" s="105">
        <f ca="1">IFERROR(fnEquipInstFactor*N197,"")</f>
        <v>8601.4939647616429</v>
      </c>
      <c r="P197" s="106">
        <f ca="1">IFERROR(fnEquipLaborFactor*K197,"")</f>
        <v>0</v>
      </c>
      <c r="Q197" s="19"/>
      <c r="S197" s="95" t="str">
        <f>IF(ISBLANK(C197),"",C197)</f>
        <v>Bin</v>
      </c>
      <c r="T197" s="11" t="str">
        <f ca="1">IFERROR(IF(INDEX(fnEquipLibRange,fnEquipRowNum,39)="","",INDEX(fnEquipLibRange,fnEquipRowNum,39)),"")</f>
        <v>Carbon steel at atmospheric pressure</v>
      </c>
      <c r="U197" s="308"/>
    </row>
    <row r="198" spans="2:21" hidden="1" outlineLevel="1">
      <c r="B198" s="16"/>
      <c r="C198" s="69" t="s">
        <v>575</v>
      </c>
      <c r="D198" s="70" t="s">
        <v>964</v>
      </c>
      <c r="E198" s="70" t="str">
        <f ca="1">IFERROR(VLOOKUP(C198,fnEquipLibRange,16,FALSE),"")</f>
        <v>Carbon steel</v>
      </c>
      <c r="F198" s="70">
        <v>1</v>
      </c>
      <c r="G198" s="131">
        <v>35.6631</v>
      </c>
      <c r="H198" s="107" t="str">
        <f ca="1">IFERROR(VLOOKUP(C198,fnEquipLibRange,2,FALSE),"")</f>
        <v>Volumetric flow rate, ft3/hr</v>
      </c>
      <c r="I198" s="101" t="str">
        <f ca="1">IF(ISBLANK(G198),"",IF(G198&lt;VLOOKUP(C198,fnEquipLibRange,3,FALSE),"&gt;&gt;&gt; Too Small &lt;&lt;&lt;",IF(G198&gt;VLOOKUP(C198,fnEquipLibRange,4,FALSE),"&gt;&gt;&gt; Too Large &lt;&lt;&lt;","Yes")))</f>
        <v>&gt;&gt;&gt; Too Small &lt;&lt;&lt;</v>
      </c>
      <c r="J198" s="101"/>
      <c r="K198" s="102">
        <f ca="1">IF(F198*G198=0,"",IFERROR(IF(F198*G198*$D$192/$D$189&lt;VLOOKUP(C198,fnEquipLibRange,3,FALSE),MAX(1,F198),MAX(ROUNDUP(F198*G198*$D$192/$D$189/VLOOKUP(C198,fnEquipLibRange,4,FALSE),0),F198)),""))</f>
        <v>1</v>
      </c>
      <c r="L198" s="103">
        <f ca="1">IF(F198*G198=0,"",IFERROR(IF(F198*G198*$D$192/$D$189&lt;VLOOKUP(C198,fnEquipLibRange,3,FALSE),VLOOKUP(C198,fnEquipLibRange,3,FALSE),F198*G198*$D$192/$D$189/MAX(ROUNDUP(F198*G198*$D$192/$D$189/VLOOKUP(C198,fnEquipLibRange,4,FALSE),0),F198)),""))</f>
        <v>205.18150749044901</v>
      </c>
      <c r="M198" s="103"/>
      <c r="N198" s="104">
        <f ca="1">IF($K198="","",IFERROR($K198*fnEquipCostCorr*fnEquipCostIndex*fnEquipConstMaterial,""))</f>
        <v>5876.5075090451064</v>
      </c>
      <c r="O198" s="105">
        <f ca="1">IFERROR(fnEquipInstFactor*N198,"")</f>
        <v>10107.592915557583</v>
      </c>
      <c r="P198" s="106">
        <f ca="1">IFERROR(fnEquipLaborFactor*K198,"")</f>
        <v>0.1</v>
      </c>
      <c r="Q198" s="19"/>
      <c r="S198" s="95" t="str">
        <f t="shared" ref="S198:S211" si="3">IF(ISBLANK(C198),"",C198)</f>
        <v>Feeder, belt</v>
      </c>
      <c r="T198" s="11" t="str">
        <f ca="1">IFERROR(IF(INDEX(fnEquipLibRange,fnEquipRowNum,39)="","",INDEX(fnEquipLibRange,fnEquipRowNum,39)),"")</f>
        <v>Includes motor and drive belt</v>
      </c>
    </row>
    <row r="199" spans="2:21" hidden="1" outlineLevel="1">
      <c r="B199" s="16"/>
      <c r="C199" s="69" t="s">
        <v>278</v>
      </c>
      <c r="D199" s="70" t="s">
        <v>317</v>
      </c>
      <c r="E199" s="70" t="str">
        <f ca="1">IFERROR(VLOOKUP(C199,fnEquipLibRange,16,FALSE),"")</f>
        <v>Carbon steel</v>
      </c>
      <c r="F199" s="70">
        <v>1</v>
      </c>
      <c r="G199" s="131">
        <v>2.37</v>
      </c>
      <c r="H199" s="107" t="str">
        <f ca="1">IFERROR(VLOOKUP(C199,fnEquipLibRange,2,FALSE),"")</f>
        <v>volume, m3</v>
      </c>
      <c r="I199" s="101" t="str">
        <f ca="1">IF(ISBLANK(G199),"",IF(G199&lt;VLOOKUP(C199,fnEquipLibRange,3,FALSE),"&gt;&gt;&gt; Too Small &lt;&lt;&lt;",IF(G199&gt;VLOOKUP(C199,fnEquipLibRange,4,FALSE),"&gt;&gt;&gt; Too Large &lt;&lt;&lt;","Yes")))</f>
        <v>Yes</v>
      </c>
      <c r="J199" s="101"/>
      <c r="K199" s="102">
        <f ca="1">IF(F199*G199=0,"",IFERROR(IF(F199*G199*$D$192/$D$189&lt;VLOOKUP(C199,fnEquipLibRange,3,FALSE),MAX(1,F199),MAX(ROUNDUP(F199*G199*$D$192/$D$189/VLOOKUP(C199,fnEquipLibRange,4,FALSE),0),F199)),""))</f>
        <v>1</v>
      </c>
      <c r="L199" s="103">
        <f ca="1">IF(F199*G199=0,"",IFERROR(IF(F199*G199*$D$192/$D$189&lt;VLOOKUP(C199,fnEquipLibRange,3,FALSE),VLOOKUP(C199,fnEquipLibRange,3,FALSE),F199*G199*$D$192/$D$189/MAX(ROUNDUP(F199*G199*$D$192/$D$189/VLOOKUP(C199,fnEquipLibRange,4,FALSE),0),F199)),""))</f>
        <v>13.635387073820397</v>
      </c>
      <c r="M199" s="103"/>
      <c r="N199" s="104">
        <f ca="1">IF($K199="","",IFERROR($K199*fnEquipCostCorr*fnEquipCostIndex*fnEquipConstMaterial,""))</f>
        <v>253717.63880967343</v>
      </c>
      <c r="O199" s="105">
        <f ca="1">IFERROR(fnEquipInstFactor*N199,"")</f>
        <v>431319.98597644485</v>
      </c>
      <c r="P199" s="106">
        <f ca="1">IFERROR(fnEquipLaborFactor*K199,"")</f>
        <v>0.3</v>
      </c>
      <c r="Q199" s="19"/>
      <c r="S199" s="95" t="str">
        <f t="shared" si="3"/>
        <v>Reactor, jacketed, agitated</v>
      </c>
      <c r="T199" s="11" t="str">
        <f ca="1">IFERROR(IF(INDEX(fnEquipLibRange,fnEquipRowNum,39)="","",INDEX(fnEquipLibRange,fnEquipRowNum,39)),"")</f>
        <v/>
      </c>
    </row>
    <row r="200" spans="2:21" hidden="1" outlineLevel="1">
      <c r="B200" s="16"/>
      <c r="C200" s="69" t="s">
        <v>278</v>
      </c>
      <c r="D200" s="70" t="s">
        <v>318</v>
      </c>
      <c r="E200" s="70" t="str">
        <f ca="1">IFERROR(VLOOKUP(C200,fnEquipLibRange,16,FALSE),"")</f>
        <v>Carbon steel</v>
      </c>
      <c r="F200" s="70">
        <v>1</v>
      </c>
      <c r="G200" s="131">
        <v>2.97</v>
      </c>
      <c r="H200" s="107" t="str">
        <f ca="1">IFERROR(VLOOKUP(C200,fnEquipLibRange,2,FALSE),"")</f>
        <v>volume, m3</v>
      </c>
      <c r="I200" s="101" t="str">
        <f ca="1">IF(ISBLANK(G200),"",IF(G200&lt;VLOOKUP(C200,fnEquipLibRange,3,FALSE),"&gt;&gt;&gt; Too Small &lt;&lt;&lt;",IF(G200&gt;VLOOKUP(C200,fnEquipLibRange,4,FALSE),"&gt;&gt;&gt; Too Large &lt;&lt;&lt;","Yes")))</f>
        <v>Yes</v>
      </c>
      <c r="J200" s="101"/>
      <c r="K200" s="102">
        <f ca="1">IF(F200*G200=0,"",IFERROR(IF(F200*G200*$D$192/$D$189&lt;VLOOKUP(C200,fnEquipLibRange,3,FALSE),MAX(1,F200),MAX(ROUNDUP(F200*G200*$D$192/$D$189/VLOOKUP(C200,fnEquipLibRange,4,FALSE),0),F200)),""))</f>
        <v>1</v>
      </c>
      <c r="L200" s="103">
        <f ca="1">IF(F200*G200=0,"",IFERROR(IF(F200*G200*$D$192/$D$189&lt;VLOOKUP(C200,fnEquipLibRange,3,FALSE),VLOOKUP(C200,fnEquipLibRange,3,FALSE),F200*G200*$D$192/$D$189/MAX(ROUNDUP(F200*G200*$D$192/$D$189/VLOOKUP(C200,fnEquipLibRange,4,FALSE),0),F200)),""))</f>
        <v>17.087383801369864</v>
      </c>
      <c r="M200" s="103"/>
      <c r="N200" s="104">
        <f ca="1">IF($K200="","",IFERROR($K200*fnEquipCostCorr*fnEquipCostIndex*fnEquipConstMaterial,""))</f>
        <v>294398.3089185743</v>
      </c>
      <c r="O200" s="105">
        <f ca="1">IFERROR(fnEquipInstFactor*N200,"")</f>
        <v>500477.12516157632</v>
      </c>
      <c r="P200" s="106">
        <f ca="1">IFERROR(fnEquipLaborFactor*K200,"")</f>
        <v>0.3</v>
      </c>
      <c r="Q200" s="19"/>
      <c r="S200" s="95" t="str">
        <f t="shared" si="3"/>
        <v>Reactor, jacketed, agitated</v>
      </c>
      <c r="T200" s="11" t="str">
        <f ca="1">IFERROR(IF(INDEX(fnEquipLibRange,fnEquipRowNum,39)="","",INDEX(fnEquipLibRange,fnEquipRowNum,39)),"")</f>
        <v/>
      </c>
    </row>
    <row r="201" spans="2:21" hidden="1" outlineLevel="1">
      <c r="B201" s="16"/>
      <c r="C201" s="69" t="s">
        <v>739</v>
      </c>
      <c r="D201" s="70" t="s">
        <v>965</v>
      </c>
      <c r="E201" s="70" t="str">
        <f ca="1">IFERROR(VLOOKUP(C201,fnEquipLibRange,16,FALSE),"")</f>
        <v>Carbon steel</v>
      </c>
      <c r="F201" s="70">
        <v>1</v>
      </c>
      <c r="G201" s="131">
        <v>0.54</v>
      </c>
      <c r="H201" s="107" t="str">
        <f ca="1">IFERROR(VLOOKUP(C201,fnEquipLibRange,2,FALSE),"")</f>
        <v>area, m2</v>
      </c>
      <c r="I201" s="101" t="str">
        <f ca="1">IF(ISBLANK(G201),"",IF(G201&lt;VLOOKUP(C201,fnEquipLibRange,3,FALSE),"&gt;&gt;&gt; Too Small &lt;&lt;&lt;",IF(G201&gt;VLOOKUP(C201,fnEquipLibRange,4,FALSE),"&gt;&gt;&gt; Too Large &lt;&lt;&lt;","Yes")))</f>
        <v>&gt;&gt;&gt; Too Small &lt;&lt;&lt;</v>
      </c>
      <c r="J201" s="101"/>
      <c r="K201" s="102">
        <f ca="1">IF(F201*G201=0,"",IFERROR(IF(F201*G201*$D$192/$D$189&lt;VLOOKUP(C201,fnEquipLibRange,3,FALSE),MAX(1,F201),MAX(ROUNDUP(F201*G201*$D$192/$D$189/VLOOKUP(C201,fnEquipLibRange,4,FALSE),0),F201)),""))</f>
        <v>1</v>
      </c>
      <c r="L201" s="103">
        <f ca="1">IF(F201*G201=0,"",IFERROR(IF(F201*G201*$D$192/$D$189&lt;VLOOKUP(C201,fnEquipLibRange,3,FALSE),VLOOKUP(C201,fnEquipLibRange,3,FALSE),F201*G201*$D$192/$D$189/MAX(ROUNDUP(F201*G201*$D$192/$D$189/VLOOKUP(C201,fnEquipLibRange,4,FALSE),0),F201)),""))</f>
        <v>10</v>
      </c>
      <c r="M201" s="103"/>
      <c r="N201" s="104">
        <f ca="1">IF($K201="","",IFERROR($K201*fnEquipCostCorr*fnEquipCostIndex*fnEquipConstMaterial,""))</f>
        <v>29348.595495532969</v>
      </c>
      <c r="O201" s="105">
        <f ca="1">IFERROR(fnEquipInstFactor*N201,"")</f>
        <v>47251.238747808085</v>
      </c>
      <c r="P201" s="106">
        <f ca="1">IFERROR(fnEquipLaborFactor*K201,"")</f>
        <v>0.05</v>
      </c>
      <c r="Q201" s="19"/>
      <c r="S201" s="95" t="str">
        <f t="shared" si="3"/>
        <v>Heat exchanger, U-tube shell and tube</v>
      </c>
      <c r="T201" s="11" t="str">
        <f ca="1">IFERROR(IF(INDEX(fnEquipLibRange,fnEquipRowNum,39)="","",INDEX(fnEquipLibRange,fnEquipRowNum,39)),"")</f>
        <v/>
      </c>
    </row>
    <row r="202" spans="2:21" hidden="1" outlineLevel="1">
      <c r="B202" s="16"/>
      <c r="C202" s="69" t="s">
        <v>678</v>
      </c>
      <c r="D202" s="70" t="s">
        <v>966</v>
      </c>
      <c r="E202" s="70" t="str">
        <f ca="1">IFERROR(VLOOKUP(C202,fnEquipLibRange,16,FALSE),"")</f>
        <v>Cast iron</v>
      </c>
      <c r="F202" s="70">
        <v>1</v>
      </c>
      <c r="G202" s="131">
        <v>85.8</v>
      </c>
      <c r="H202" s="107" t="str">
        <f ca="1">IFERROR(VLOOKUP(C202,fnEquipLibRange,2,FALSE),"")</f>
        <v>Consumed power, hp</v>
      </c>
      <c r="I202" s="101" t="str">
        <f ca="1">IF(ISBLANK(G202),"",IF(G202&lt;VLOOKUP(C202,fnEquipLibRange,3,FALSE),"&gt;&gt;&gt; Too Small &lt;&lt;&lt;",IF(G202&gt;VLOOKUP(C202,fnEquipLibRange,4,FALSE),"&gt;&gt;&gt; Too Large &lt;&lt;&lt;","Yes")))</f>
        <v>Yes</v>
      </c>
      <c r="J202" s="101"/>
      <c r="K202" s="102">
        <f ca="1">IF(F202*G202=0,"",IFERROR(IF(F202*G202*$D$192/$D$189&lt;VLOOKUP(C202,fnEquipLibRange,3,FALSE),MAX(1,F202),MAX(ROUNDUP(F202*G202*$D$192/$D$189/VLOOKUP(C202,fnEquipLibRange,4,FALSE),0),F202)),""))</f>
        <v>1</v>
      </c>
      <c r="L202" s="103">
        <f ca="1">IF(F202*G202=0,"",IFERROR(IF(F202*G202*$D$192/$D$189&lt;VLOOKUP(C202,fnEquipLibRange,3,FALSE),VLOOKUP(C202,fnEquipLibRange,3,FALSE),F202*G202*$D$192/$D$189/MAX(ROUNDUP(F202*G202*$D$192/$D$189/VLOOKUP(C202,fnEquipLibRange,4,FALSE),0),F202)),""))</f>
        <v>493.63553203957372</v>
      </c>
      <c r="M202" s="103"/>
      <c r="N202" s="104">
        <f ca="1">IF($K202="","",IFERROR($K202*fnEquipCostCorr*fnEquipCostIndex*fnEquipConstMaterial,""))</f>
        <v>326592.53244416125</v>
      </c>
      <c r="O202" s="105">
        <f ca="1">IFERROR(fnEquipInstFactor*N202,"")</f>
        <v>486622.87334180024</v>
      </c>
      <c r="P202" s="106">
        <f ca="1">IFERROR(fnEquipLaborFactor*K202,"")</f>
        <v>0.1</v>
      </c>
      <c r="Q202" s="19"/>
      <c r="S202" s="95" t="str">
        <f t="shared" si="3"/>
        <v>Compressor, rotary twin-screw, electric motor (preferred)</v>
      </c>
      <c r="T202" s="11" t="str">
        <f ca="1">IFERROR(IF(INDEX(fnEquipLibRange,fnEquipRowNum,39)="","",INDEX(fnEquipLibRange,fnEquipRowNum,39)),"")</f>
        <v>Includes drive and electric motor</v>
      </c>
    </row>
    <row r="203" spans="2:21" hidden="1" outlineLevel="1">
      <c r="B203" s="16"/>
      <c r="C203" s="69" t="s">
        <v>640</v>
      </c>
      <c r="D203" s="70" t="s">
        <v>967</v>
      </c>
      <c r="E203" s="70" t="str">
        <f ca="1">IFERROR(VLOOKUP(C203,fnEquipLibRange,16,FALSE),"")</f>
        <v>Carbon steel</v>
      </c>
      <c r="F203" s="70">
        <v>1</v>
      </c>
      <c r="G203" s="131">
        <v>16.8</v>
      </c>
      <c r="H203" s="107" t="str">
        <f ca="1">IFERROR(VLOOKUP(C203,fnEquipLibRange,2,FALSE),"")</f>
        <v>Actual cubic feet per minute (ACFM)</v>
      </c>
      <c r="I203" s="101" t="str">
        <f ca="1">IF(ISBLANK(G203),"",IF(G203&lt;VLOOKUP(C203,fnEquipLibRange,3,FALSE),"&gt;&gt;&gt; Too Small &lt;&lt;&lt;",IF(G203&gt;VLOOKUP(C203,fnEquipLibRange,4,FALSE),"&gt;&gt;&gt; Too Large &lt;&lt;&lt;","Yes")))</f>
        <v>&gt;&gt;&gt; Too Small &lt;&lt;&lt;</v>
      </c>
      <c r="J203" s="101"/>
      <c r="K203" s="102">
        <f ca="1">IF(F203*G203=0,"",IFERROR(IF(F203*G203*$D$192/$D$189&lt;VLOOKUP(C203,fnEquipLibRange,3,FALSE),MAX(1,F203),MAX(ROUNDUP(F203*G203*$D$192/$D$189/VLOOKUP(C203,fnEquipLibRange,4,FALSE),0),F203)),""))</f>
        <v>1</v>
      </c>
      <c r="L203" s="103">
        <f ca="1">IF(F203*G203=0,"",IFERROR(IF(F203*G203*$D$192/$D$189&lt;VLOOKUP(C203,fnEquipLibRange,3,FALSE),VLOOKUP(C203,fnEquipLibRange,3,FALSE),F203*G203*$D$192/$D$189/MAX(ROUNDUP(F203*G203*$D$192/$D$189/VLOOKUP(C203,fnEquipLibRange,4,FALSE),0),F203)),""))</f>
        <v>1000</v>
      </c>
      <c r="M203" s="103"/>
      <c r="N203" s="104">
        <f ca="1">IF($K203="","",IFERROR($K203*fnEquipCostCorr*fnEquipCostIndex*fnEquipConstMaterial,""))</f>
        <v>1435.0088395335745</v>
      </c>
      <c r="O203" s="105">
        <f ca="1">IFERROR(fnEquipInstFactor*N203,"")</f>
        <v>2310.364231649055</v>
      </c>
      <c r="P203" s="106">
        <f ca="1">IFERROR(fnEquipLaborFactor*K203,"")</f>
        <v>0.05</v>
      </c>
      <c r="Q203" s="19"/>
      <c r="S203" s="95" t="str">
        <f t="shared" si="3"/>
        <v>Fan, centrifugal backward-curved, 0–4 in H2O head</v>
      </c>
      <c r="T203" s="11" t="str">
        <f ca="1">IFERROR(IF(INDEX(fnEquipLibRange,fnEquipRowNum,39)="","",INDEX(fnEquipLibRange,fnEquipRowNum,39)),"")</f>
        <v>Includes drive and electric motor; a "fan" applies to near-ambient suction pressures and less than 10% pressure increases</v>
      </c>
    </row>
    <row r="204" spans="2:21" hidden="1" outlineLevel="1">
      <c r="B204" s="16"/>
      <c r="C204" s="69" t="s">
        <v>766</v>
      </c>
      <c r="D204" s="70" t="s">
        <v>319</v>
      </c>
      <c r="E204" s="70" t="str">
        <f ca="1">IFERROR(VLOOKUP(C204,fnEquipLibRange,16,FALSE),"")</f>
        <v>Carbon steel</v>
      </c>
      <c r="F204" s="70">
        <v>1</v>
      </c>
      <c r="G204" s="131">
        <v>200</v>
      </c>
      <c r="H204" s="107" t="str">
        <f ca="1">IFERROR(VLOOKUP(C204,fnEquipLibRange,2,FALSE),"")</f>
        <v>Volume, gal</v>
      </c>
      <c r="I204" s="101" t="str">
        <f ca="1">IF(ISBLANK(G204),"",IF(G204&lt;VLOOKUP(C204,fnEquipLibRange,3,FALSE),"&gt;&gt;&gt; Too Small &lt;&lt;&lt;",IF(G204&gt;VLOOKUP(C204,fnEquipLibRange,4,FALSE),"&gt;&gt;&gt; Too Large &lt;&lt;&lt;","Yes")))</f>
        <v>&gt;&gt;&gt; Too Small &lt;&lt;&lt;</v>
      </c>
      <c r="J204" s="101"/>
      <c r="K204" s="102">
        <f ca="1">IF(F204*G204=0,"",IFERROR(IF(F204*G204*$D$192/$D$189&lt;VLOOKUP(C204,fnEquipLibRange,3,FALSE),MAX(1,F204),MAX(ROUNDUP(F204*G204*$D$192/$D$189/VLOOKUP(C204,fnEquipLibRange,4,FALSE),0),F204)),""))</f>
        <v>1</v>
      </c>
      <c r="L204" s="103">
        <f ca="1">IF(F204*G204=0,"",IFERROR(IF(F204*G204*$D$192/$D$189&lt;VLOOKUP(C204,fnEquipLibRange,3,FALSE),VLOOKUP(C204,fnEquipLibRange,3,FALSE),F204*G204*$D$192/$D$189/MAX(ROUNDUP(F204*G204*$D$192/$D$189/VLOOKUP(C204,fnEquipLibRange,4,FALSE),0),F204)),""))</f>
        <v>1150.6655758498223</v>
      </c>
      <c r="M204" s="103"/>
      <c r="N204" s="104">
        <f ca="1">IF($K204="","",IFERROR($K204*fnEquipCostCorr*fnEquipCostIndex*fnEquipConstMaterial,""))</f>
        <v>9417.3562665785375</v>
      </c>
      <c r="O204" s="105">
        <f ca="1">IFERROR(fnEquipInstFactor*N204,"")</f>
        <v>17704.629781167649</v>
      </c>
      <c r="P204" s="106">
        <f ca="1">IFERROR(fnEquipLaborFactor*K204,"")</f>
        <v>0</v>
      </c>
      <c r="Q204" s="19"/>
      <c r="S204" s="95" t="str">
        <f t="shared" si="3"/>
        <v>Tank, cone roof (Seider)</v>
      </c>
      <c r="T204" s="11" t="str">
        <f ca="1">IFERROR(IF(INDEX(fnEquipLibRange,fnEquipRowNum,39)="","",INDEX(fnEquipLibRange,fnEquipRowNum,39)),"")</f>
        <v>Carbon steel, pressure up to 3 psig</v>
      </c>
    </row>
    <row r="205" spans="2:21" hidden="1" outlineLevel="1">
      <c r="B205" s="16"/>
      <c r="C205" s="69" t="s">
        <v>766</v>
      </c>
      <c r="D205" s="70" t="s">
        <v>320</v>
      </c>
      <c r="E205" s="70" t="str">
        <f ca="1">IFERROR(VLOOKUP(C205,fnEquipLibRange,16,FALSE),"")</f>
        <v>Carbon steel</v>
      </c>
      <c r="F205" s="70">
        <v>1</v>
      </c>
      <c r="G205" s="131">
        <v>2000</v>
      </c>
      <c r="H205" s="107" t="str">
        <f ca="1">IFERROR(VLOOKUP(C205,fnEquipLibRange,2,FALSE),"")</f>
        <v>Volume, gal</v>
      </c>
      <c r="I205" s="101" t="str">
        <f ca="1">IF(ISBLANK(G205),"",IF(G205&lt;VLOOKUP(C205,fnEquipLibRange,3,FALSE),"&gt;&gt;&gt; Too Small &lt;&lt;&lt;",IF(G205&gt;VLOOKUP(C205,fnEquipLibRange,4,FALSE),"&gt;&gt;&gt; Too Large &lt;&lt;&lt;","Yes")))</f>
        <v>Yes</v>
      </c>
      <c r="J205" s="101"/>
      <c r="K205" s="102">
        <f ca="1">IF(F205*G205=0,"",IFERROR(IF(F205*G205*$D$192/$D$189&lt;VLOOKUP(C205,fnEquipLibRange,3,FALSE),MAX(1,F205),MAX(ROUNDUP(F205*G205*$D$192/$D$189/VLOOKUP(C205,fnEquipLibRange,4,FALSE),0),F205)),""))</f>
        <v>1</v>
      </c>
      <c r="L205" s="103">
        <f ca="1">IF(F205*G205=0,"",IFERROR(IF(F205*G205*$D$192/$D$189&lt;VLOOKUP(C205,fnEquipLibRange,3,FALSE),VLOOKUP(C205,fnEquipLibRange,3,FALSE),F205*G205*$D$192/$D$189/MAX(ROUNDUP(F205*G205*$D$192/$D$189/VLOOKUP(C205,fnEquipLibRange,4,FALSE),0),F205)),""))</f>
        <v>11506.655758498224</v>
      </c>
      <c r="M205" s="103"/>
      <c r="N205" s="104">
        <f ca="1">IF($K205="","",IFERROR($K205*fnEquipCostCorr*fnEquipCostIndex*fnEquipConstMaterial,""))</f>
        <v>30685.202980625458</v>
      </c>
      <c r="O205" s="105">
        <f ca="1">IFERROR(fnEquipInstFactor*N205,"")</f>
        <v>57688.18160357586</v>
      </c>
      <c r="P205" s="106">
        <f ca="1">IFERROR(fnEquipLaborFactor*K205,"")</f>
        <v>0</v>
      </c>
      <c r="Q205" s="19"/>
      <c r="S205" s="95" t="str">
        <f t="shared" si="3"/>
        <v>Tank, cone roof (Seider)</v>
      </c>
      <c r="T205" s="11" t="str">
        <f ca="1">IFERROR(IF(INDEX(fnEquipLibRange,fnEquipRowNum,39)="","",INDEX(fnEquipLibRange,fnEquipRowNum,39)),"")</f>
        <v>Carbon steel, pressure up to 3 psig</v>
      </c>
    </row>
    <row r="206" spans="2:21" hidden="1" outlineLevel="1">
      <c r="B206" s="16"/>
      <c r="C206" s="69" t="s">
        <v>766</v>
      </c>
      <c r="D206" s="70" t="s">
        <v>968</v>
      </c>
      <c r="E206" s="70" t="str">
        <f ca="1">IFERROR(VLOOKUP(C206,fnEquipLibRange,16,FALSE),"")</f>
        <v>Carbon steel</v>
      </c>
      <c r="F206" s="70">
        <v>1</v>
      </c>
      <c r="G206" s="131">
        <v>2000</v>
      </c>
      <c r="H206" s="107" t="str">
        <f ca="1">IFERROR(VLOOKUP(C206,fnEquipLibRange,2,FALSE),"")</f>
        <v>Volume, gal</v>
      </c>
      <c r="I206" s="101" t="str">
        <f ca="1">IF(ISBLANK(G206),"",IF(G206&lt;VLOOKUP(C206,fnEquipLibRange,3,FALSE),"&gt;&gt;&gt; Too Small &lt;&lt;&lt;",IF(G206&gt;VLOOKUP(C206,fnEquipLibRange,4,FALSE),"&gt;&gt;&gt; Too Large &lt;&lt;&lt;","Yes")))</f>
        <v>Yes</v>
      </c>
      <c r="J206" s="101"/>
      <c r="K206" s="102">
        <f ca="1">IF(F206*G206=0,"",IFERROR(IF(F206*G206*$D$192/$D$189&lt;VLOOKUP(C206,fnEquipLibRange,3,FALSE),MAX(1,F206),MAX(ROUNDUP(F206*G206*$D$192/$D$189/VLOOKUP(C206,fnEquipLibRange,4,FALSE),0),F206)),""))</f>
        <v>1</v>
      </c>
      <c r="L206" s="103">
        <f ca="1">IF(F206*G206=0,"",IFERROR(IF(F206*G206*$D$192/$D$189&lt;VLOOKUP(C206,fnEquipLibRange,3,FALSE),VLOOKUP(C206,fnEquipLibRange,3,FALSE),F206*G206*$D$192/$D$189/MAX(ROUNDUP(F206*G206*$D$192/$D$189/VLOOKUP(C206,fnEquipLibRange,4,FALSE),0),F206)),""))</f>
        <v>11506.655758498224</v>
      </c>
      <c r="M206" s="103"/>
      <c r="N206" s="104">
        <f ca="1">IF($K206="","",IFERROR($K206*fnEquipCostCorr*fnEquipCostIndex*fnEquipConstMaterial,""))</f>
        <v>30685.202980625458</v>
      </c>
      <c r="O206" s="105">
        <f ca="1">IFERROR(fnEquipInstFactor*N206,"")</f>
        <v>57688.18160357586</v>
      </c>
      <c r="P206" s="106">
        <f ca="1">IFERROR(fnEquipLaborFactor*K206,"")</f>
        <v>0</v>
      </c>
      <c r="Q206" s="19"/>
      <c r="S206" s="95" t="str">
        <f t="shared" si="3"/>
        <v>Tank, cone roof (Seider)</v>
      </c>
      <c r="T206" s="11" t="str">
        <f ca="1">IFERROR(IF(INDEX(fnEquipLibRange,fnEquipRowNum,39)="","",INDEX(fnEquipLibRange,fnEquipRowNum,39)),"")</f>
        <v>Carbon steel, pressure up to 3 psig</v>
      </c>
    </row>
    <row r="207" spans="2:21" hidden="1" outlineLevel="1">
      <c r="B207" s="16"/>
      <c r="C207" s="69"/>
      <c r="D207" s="70"/>
      <c r="E207" s="70" t="str">
        <f ca="1">IFERROR(VLOOKUP(C207,fnEquipLibRange,16,FALSE),"")</f>
        <v/>
      </c>
      <c r="F207" s="70"/>
      <c r="G207" s="131"/>
      <c r="H207" s="107" t="str">
        <f ca="1">IFERROR(VLOOKUP(C207,fnEquipLibRange,2,FALSE),"")</f>
        <v/>
      </c>
      <c r="I207" s="101" t="str">
        <f>IF(ISBLANK(G207),"",IF(G207&lt;VLOOKUP(C207,fnEquipLibRange,3,FALSE),"&gt;&gt;&gt; Too Small &lt;&lt;&lt;",IF(G207&gt;VLOOKUP(C207,fnEquipLibRange,4,FALSE),"&gt;&gt;&gt; Too Large &lt;&lt;&lt;","Yes")))</f>
        <v/>
      </c>
      <c r="J207" s="101"/>
      <c r="K207" s="102" t="str">
        <f>IF(F207*G207=0,"",IFERROR(IF(F207*G207*$D$192/$D$189&lt;VLOOKUP(C207,fnEquipLibRange,3,FALSE),MAX(1,F207),MAX(ROUNDUP(F207*G207*$D$192/$D$189/VLOOKUP(C207,fnEquipLibRange,4,FALSE),0),F207)),""))</f>
        <v/>
      </c>
      <c r="L207" s="103" t="str">
        <f>IF(F207*G207=0,"",IFERROR(IF(F207*G207*$D$192/$D$189&lt;VLOOKUP(C207,fnEquipLibRange,3,FALSE),VLOOKUP(C207,fnEquipLibRange,3,FALSE),F207*G207*$D$192/$D$189/MAX(ROUNDUP(F207*G207*$D$192/$D$189/VLOOKUP(C207,fnEquipLibRange,4,FALSE),0),F207)),""))</f>
        <v/>
      </c>
      <c r="M207" s="103"/>
      <c r="N207" s="104" t="str">
        <f>IF($K207="","",IFERROR($K207*fnEquipCostCorr*fnEquipCostIndex*fnEquipConstMaterial,""))</f>
        <v/>
      </c>
      <c r="O207" s="105" t="str">
        <f ca="1">IFERROR(fnEquipInstFactor*N207,"")</f>
        <v/>
      </c>
      <c r="P207" s="106" t="str">
        <f ca="1">IFERROR(fnEquipLaborFactor*K207,"")</f>
        <v/>
      </c>
      <c r="Q207" s="19"/>
      <c r="S207" s="95" t="str">
        <f t="shared" si="3"/>
        <v/>
      </c>
      <c r="T207" s="11" t="str">
        <f ca="1">IFERROR(IF(INDEX(fnEquipLibRange,fnEquipRowNum,39)="","",INDEX(fnEquipLibRange,fnEquipRowNum,39)),"")</f>
        <v/>
      </c>
    </row>
    <row r="208" spans="2:21" hidden="1" outlineLevel="1">
      <c r="B208" s="16"/>
      <c r="C208" s="69"/>
      <c r="D208" s="70"/>
      <c r="E208" s="70" t="str">
        <f ca="1">IFERROR(VLOOKUP(C208,fnEquipLibRange,16,FALSE),"")</f>
        <v/>
      </c>
      <c r="F208" s="70"/>
      <c r="G208" s="131"/>
      <c r="H208" s="107" t="str">
        <f ca="1">IFERROR(VLOOKUP(C208,fnEquipLibRange,2,FALSE),"")</f>
        <v/>
      </c>
      <c r="I208" s="101" t="str">
        <f>IF(ISBLANK(G208),"",IF(G208&lt;VLOOKUP(C208,fnEquipLibRange,3,FALSE),"&gt;&gt;&gt; Too Small &lt;&lt;&lt;",IF(G208&gt;VLOOKUP(C208,fnEquipLibRange,4,FALSE),"&gt;&gt;&gt; Too Large &lt;&lt;&lt;","Yes")))</f>
        <v/>
      </c>
      <c r="J208" s="101"/>
      <c r="K208" s="102" t="str">
        <f>IF(F208*G208=0,"",IFERROR(IF(F208*G208*$D$192/$D$189&lt;VLOOKUP(C208,fnEquipLibRange,3,FALSE),MAX(1,F208),MAX(ROUNDUP(F208*G208*$D$192/$D$189/VLOOKUP(C208,fnEquipLibRange,4,FALSE),0),F208)),""))</f>
        <v/>
      </c>
      <c r="L208" s="103" t="str">
        <f>IF(F208*G208=0,"",IFERROR(IF(F208*G208*$D$192/$D$189&lt;VLOOKUP(C208,fnEquipLibRange,3,FALSE),VLOOKUP(C208,fnEquipLibRange,3,FALSE),F208*G208*$D$192/$D$189/MAX(ROUNDUP(F208*G208*$D$192/$D$189/VLOOKUP(C208,fnEquipLibRange,4,FALSE),0),F208)),""))</f>
        <v/>
      </c>
      <c r="M208" s="103"/>
      <c r="N208" s="104" t="str">
        <f>IF($K208="","",IFERROR($K208*fnEquipCostCorr*fnEquipCostIndex*fnEquipConstMaterial,""))</f>
        <v/>
      </c>
      <c r="O208" s="105" t="str">
        <f ca="1">IFERROR(fnEquipInstFactor*N208,"")</f>
        <v/>
      </c>
      <c r="P208" s="106" t="str">
        <f ca="1">IFERROR(fnEquipLaborFactor*K208,"")</f>
        <v/>
      </c>
      <c r="Q208" s="19"/>
      <c r="S208" s="95" t="str">
        <f t="shared" si="3"/>
        <v/>
      </c>
      <c r="T208" s="11" t="str">
        <f ca="1">IFERROR(IF(INDEX(fnEquipLibRange,fnEquipRowNum,39)="","",INDEX(fnEquipLibRange,fnEquipRowNum,39)),"")</f>
        <v/>
      </c>
    </row>
    <row r="209" spans="1:20" hidden="1" outlineLevel="1">
      <c r="B209" s="16"/>
      <c r="C209" s="69"/>
      <c r="D209" s="70"/>
      <c r="E209" s="70" t="str">
        <f ca="1">IFERROR(VLOOKUP(C209,fnEquipLibRange,16,FALSE),"")</f>
        <v/>
      </c>
      <c r="F209" s="70"/>
      <c r="G209" s="131"/>
      <c r="H209" s="107" t="str">
        <f ca="1">IFERROR(VLOOKUP(C209,fnEquipLibRange,2,FALSE),"")</f>
        <v/>
      </c>
      <c r="I209" s="101" t="str">
        <f>IF(ISBLANK(G209),"",IF(G209&lt;VLOOKUP(C209,fnEquipLibRange,3,FALSE),"&gt;&gt;&gt; Too Small &lt;&lt;&lt;",IF(G209&gt;VLOOKUP(C209,fnEquipLibRange,4,FALSE),"&gt;&gt;&gt; Too Large &lt;&lt;&lt;","Yes")))</f>
        <v/>
      </c>
      <c r="J209" s="101"/>
      <c r="K209" s="102" t="str">
        <f>IF(F209*G209=0,"",IFERROR(IF(F209*G209*$D$192/$D$189&lt;VLOOKUP(C209,fnEquipLibRange,3,FALSE),MAX(1,F209),MAX(ROUNDUP(F209*G209*$D$192/$D$189/VLOOKUP(C209,fnEquipLibRange,4,FALSE),0),F209)),""))</f>
        <v/>
      </c>
      <c r="L209" s="103" t="str">
        <f>IF(F209*G209=0,"",IFERROR(IF(F209*G209*$D$192/$D$189&lt;VLOOKUP(C209,fnEquipLibRange,3,FALSE),VLOOKUP(C209,fnEquipLibRange,3,FALSE),F209*G209*$D$192/$D$189/MAX(ROUNDUP(F209*G209*$D$192/$D$189/VLOOKUP(C209,fnEquipLibRange,4,FALSE),0),F209)),""))</f>
        <v/>
      </c>
      <c r="M209" s="103"/>
      <c r="N209" s="104" t="str">
        <f>IF($K209="","",IFERROR($K209*fnEquipCostCorr*fnEquipCostIndex*fnEquipConstMaterial,""))</f>
        <v/>
      </c>
      <c r="O209" s="105" t="str">
        <f ca="1">IFERROR(fnEquipInstFactor*N209,"")</f>
        <v/>
      </c>
      <c r="P209" s="106" t="str">
        <f ca="1">IFERROR(fnEquipLaborFactor*K209,"")</f>
        <v/>
      </c>
      <c r="Q209" s="19"/>
      <c r="S209" s="95" t="str">
        <f t="shared" si="3"/>
        <v/>
      </c>
      <c r="T209" s="11" t="str">
        <f ca="1">IFERROR(IF(INDEX(fnEquipLibRange,fnEquipRowNum,39)="","",INDEX(fnEquipLibRange,fnEquipRowNum,39)),"")</f>
        <v/>
      </c>
    </row>
    <row r="210" spans="1:20" hidden="1" outlineLevel="1">
      <c r="B210" s="16"/>
      <c r="C210" s="69"/>
      <c r="D210" s="70"/>
      <c r="E210" s="70" t="str">
        <f ca="1">IFERROR(VLOOKUP(C210,fnEquipLibRange,16,FALSE),"")</f>
        <v/>
      </c>
      <c r="F210" s="70"/>
      <c r="G210" s="131"/>
      <c r="H210" s="107" t="str">
        <f ca="1">IFERROR(VLOOKUP(C210,fnEquipLibRange,2,FALSE),"")</f>
        <v/>
      </c>
      <c r="I210" s="101" t="str">
        <f>IF(ISBLANK(G210),"",IF(G210&lt;VLOOKUP(C210,fnEquipLibRange,3,FALSE),"&gt;&gt;&gt; Too Small &lt;&lt;&lt;",IF(G210&gt;VLOOKUP(C210,fnEquipLibRange,4,FALSE),"&gt;&gt;&gt; Too Large &lt;&lt;&lt;","Yes")))</f>
        <v/>
      </c>
      <c r="J210" s="101"/>
      <c r="K210" s="102" t="str">
        <f>IF(F210*G210=0,"",IFERROR(IF(F210*G210*$D$192/$D$189&lt;VLOOKUP(C210,fnEquipLibRange,3,FALSE),MAX(1,F210),MAX(ROUNDUP(F210*G210*$D$192/$D$189/VLOOKUP(C210,fnEquipLibRange,4,FALSE),0),F210)),""))</f>
        <v/>
      </c>
      <c r="L210" s="103" t="str">
        <f>IF(F210*G210=0,"",IFERROR(IF(F210*G210*$D$192/$D$189&lt;VLOOKUP(C210,fnEquipLibRange,3,FALSE),VLOOKUP(C210,fnEquipLibRange,3,FALSE),F210*G210*$D$192/$D$189/MAX(ROUNDUP(F210*G210*$D$192/$D$189/VLOOKUP(C210,fnEquipLibRange,4,FALSE),0),F210)),""))</f>
        <v/>
      </c>
      <c r="M210" s="103"/>
      <c r="N210" s="104" t="str">
        <f>IF($K210="","",IFERROR($K210*fnEquipCostCorr*fnEquipCostIndex*fnEquipConstMaterial,""))</f>
        <v/>
      </c>
      <c r="O210" s="105" t="str">
        <f ca="1">IFERROR(fnEquipInstFactor*N210,"")</f>
        <v/>
      </c>
      <c r="P210" s="106" t="str">
        <f ca="1">IFERROR(fnEquipLaborFactor*K210,"")</f>
        <v/>
      </c>
      <c r="Q210" s="19"/>
      <c r="S210" s="95" t="str">
        <f t="shared" si="3"/>
        <v/>
      </c>
      <c r="T210" s="11" t="str">
        <f ca="1">IFERROR(IF(INDEX(fnEquipLibRange,fnEquipRowNum,39)="","",INDEX(fnEquipLibRange,fnEquipRowNum,39)),"")</f>
        <v/>
      </c>
    </row>
    <row r="211" spans="1:20" hidden="1" outlineLevel="1">
      <c r="B211" s="16"/>
      <c r="C211" s="69"/>
      <c r="D211" s="70"/>
      <c r="E211" s="70" t="str">
        <f ca="1">IFERROR(VLOOKUP(C211,fnEquipLibRange,16,FALSE),"")</f>
        <v/>
      </c>
      <c r="F211" s="70"/>
      <c r="G211" s="131"/>
      <c r="H211" s="107" t="str">
        <f ca="1">IFERROR(VLOOKUP(C211,fnEquipLibRange,2,FALSE),"")</f>
        <v/>
      </c>
      <c r="I211" s="101" t="str">
        <f>IF(ISBLANK(G211),"",IF(G211&lt;VLOOKUP(C211,fnEquipLibRange,3,FALSE),"&gt;&gt;&gt; Too Small &lt;&lt;&lt;",IF(G211&gt;VLOOKUP(C211,fnEquipLibRange,4,FALSE),"&gt;&gt;&gt; Too Large &lt;&lt;&lt;","Yes")))</f>
        <v/>
      </c>
      <c r="J211" s="101"/>
      <c r="K211" s="102" t="str">
        <f>IF(F211*G211=0,"",IFERROR(IF(F211*G211*$D$192/$D$189&lt;VLOOKUP(C211,fnEquipLibRange,3,FALSE),MAX(1,F211),MAX(ROUNDUP(F211*G211*$D$192/$D$189/VLOOKUP(C211,fnEquipLibRange,4,FALSE),0),F211)),""))</f>
        <v/>
      </c>
      <c r="L211" s="103" t="str">
        <f>IF(F211*G211=0,"",IFERROR(IF(F211*G211*$D$192/$D$189&lt;VLOOKUP(C211,fnEquipLibRange,3,FALSE),VLOOKUP(C211,fnEquipLibRange,3,FALSE),F211*G211*$D$192/$D$189/MAX(ROUNDUP(F211*G211*$D$192/$D$189/VLOOKUP(C211,fnEquipLibRange,4,FALSE),0),F211)),""))</f>
        <v/>
      </c>
      <c r="M211" s="103"/>
      <c r="N211" s="104" t="str">
        <f>IF($K211="","",IFERROR($K211*fnEquipCostCorr*fnEquipCostIndex*fnEquipConstMaterial,""))</f>
        <v/>
      </c>
      <c r="O211" s="105" t="str">
        <f ca="1">IFERROR(fnEquipInstFactor*N211,"")</f>
        <v/>
      </c>
      <c r="P211" s="106" t="str">
        <f ca="1">IFERROR(fnEquipLaborFactor*K211,"")</f>
        <v/>
      </c>
      <c r="Q211" s="19"/>
      <c r="S211" s="95" t="str">
        <f t="shared" si="3"/>
        <v/>
      </c>
      <c r="T211" s="11" t="str">
        <f ca="1">IFERROR(IF(INDEX(fnEquipLibRange,fnEquipRowNum,39)="","",INDEX(fnEquipLibRange,fnEquipRowNum,39)),"")</f>
        <v/>
      </c>
    </row>
    <row r="212" spans="1:20" ht="17" hidden="1" outlineLevel="1" thickBot="1">
      <c r="B212" s="21"/>
      <c r="C212" s="22"/>
      <c r="D212" s="22"/>
      <c r="E212" s="22"/>
      <c r="F212" s="22"/>
      <c r="G212" s="22"/>
      <c r="H212" s="22"/>
      <c r="I212" s="22"/>
      <c r="J212" s="22"/>
      <c r="K212" s="22"/>
      <c r="L212" s="100"/>
      <c r="M212" s="100"/>
      <c r="N212" s="22"/>
      <c r="O212" s="22"/>
      <c r="P212" s="22"/>
      <c r="Q212" s="23"/>
    </row>
    <row r="213" spans="1:20" ht="32" hidden="1" customHeight="1" outlineLevel="1">
      <c r="B213" s="429" t="str">
        <f>"Equipment Cost Totals: "&amp;C181</f>
        <v>Equipment Cost Totals: Wet Impregnation - Metal on Metal Oxide</v>
      </c>
      <c r="C213" s="430"/>
      <c r="D213" s="430"/>
      <c r="E213" s="431"/>
    </row>
    <row r="214" spans="1:20" hidden="1" outlineLevel="1">
      <c r="B214" s="16"/>
      <c r="C214" s="17" t="str">
        <f>"Equipment Cost Totals for "&amp;C181</f>
        <v>Equipment Cost Totals for Wet Impregnation - Metal on Metal Oxide</v>
      </c>
      <c r="D214" s="18"/>
      <c r="E214" s="19"/>
    </row>
    <row r="215" spans="1:20" hidden="1" outlineLevel="1">
      <c r="B215" s="16"/>
      <c r="C215" s="18"/>
      <c r="D215" s="163" t="s">
        <v>310</v>
      </c>
      <c r="E215" s="309">
        <f ca="1">SUM(N197:N211)</f>
        <v>990757.8482091116</v>
      </c>
    </row>
    <row r="216" spans="1:20" hidden="1" outlineLevel="1">
      <c r="B216" s="16"/>
      <c r="C216" s="18"/>
      <c r="D216" s="163" t="s">
        <v>358</v>
      </c>
      <c r="E216" s="309">
        <f ca="1">SUM(O197:O211)</f>
        <v>1619771.6673279172</v>
      </c>
    </row>
    <row r="217" spans="1:20" hidden="1" outlineLevel="1">
      <c r="B217" s="16"/>
      <c r="C217" s="18"/>
      <c r="D217" s="163" t="s">
        <v>1004</v>
      </c>
      <c r="E217" s="310">
        <f ca="1">SUM(P197:P211)</f>
        <v>0.9</v>
      </c>
    </row>
    <row r="218" spans="1:20" ht="17" hidden="1" outlineLevel="1" thickBot="1">
      <c r="B218" s="21"/>
      <c r="C218" s="22"/>
      <c r="D218" s="22"/>
      <c r="E218" s="23"/>
    </row>
    <row r="219" spans="1:20" ht="17" collapsed="1" thickBot="1">
      <c r="A219" s="314" t="str">
        <f>"&lt;– show/hide "&amp;B178</f>
        <v>&lt;– show/hide Process Template: Wet Impregnation - Metal on Metal Oxide</v>
      </c>
    </row>
    <row r="220" spans="1:20" ht="21" thickBot="1">
      <c r="B220" s="355" t="str">
        <f>"Process Template: "&amp;C223</f>
        <v>Process Template: Zeolite for FCC</v>
      </c>
      <c r="C220" s="356"/>
      <c r="D220" s="356"/>
      <c r="E220" s="356"/>
      <c r="F220" s="356"/>
      <c r="G220" s="357"/>
      <c r="I220" s="201"/>
    </row>
    <row r="221" spans="1:20" outlineLevel="1">
      <c r="B221" s="13"/>
      <c r="C221" s="14"/>
      <c r="D221" s="14"/>
      <c r="E221" s="14"/>
      <c r="F221" s="14"/>
      <c r="G221" s="15"/>
      <c r="I221" s="201"/>
    </row>
    <row r="222" spans="1:20" outlineLevel="1">
      <c r="B222" s="16"/>
      <c r="C222" s="17" t="s">
        <v>1058</v>
      </c>
      <c r="D222" s="18"/>
      <c r="E222" s="18"/>
      <c r="F222" s="18"/>
      <c r="G222" s="19"/>
      <c r="I222" s="201"/>
    </row>
    <row r="223" spans="1:20" outlineLevel="1">
      <c r="B223" s="16"/>
      <c r="C223" s="18" t="s">
        <v>1001</v>
      </c>
      <c r="D223" s="18"/>
      <c r="E223" s="18"/>
      <c r="F223" s="18"/>
      <c r="G223" s="19"/>
      <c r="I223" s="201"/>
    </row>
    <row r="224" spans="1:20" ht="17" outlineLevel="1" thickBot="1">
      <c r="B224" s="16"/>
      <c r="C224" s="18"/>
      <c r="D224" s="18"/>
      <c r="E224" s="18"/>
      <c r="F224" s="18"/>
      <c r="G224" s="19"/>
      <c r="I224" s="201"/>
    </row>
    <row r="225" spans="2:21" ht="32" customHeight="1" outlineLevel="1">
      <c r="B225" s="429" t="str">
        <f>"Scaling Inputs: "&amp;C223</f>
        <v>Scaling Inputs: Zeolite for FCC</v>
      </c>
      <c r="C225" s="430"/>
      <c r="D225" s="430"/>
      <c r="E225" s="430"/>
      <c r="F225" s="430"/>
      <c r="G225" s="431"/>
      <c r="I225" s="201"/>
    </row>
    <row r="226" spans="2:21" outlineLevel="1">
      <c r="B226" s="16"/>
      <c r="C226" s="17" t="s">
        <v>1754</v>
      </c>
      <c r="D226" s="18"/>
      <c r="E226" s="18"/>
      <c r="F226" s="18"/>
      <c r="G226" s="19"/>
      <c r="I226" s="201"/>
    </row>
    <row r="227" spans="2:21" outlineLevel="1">
      <c r="B227" s="16"/>
      <c r="C227" s="138" t="s">
        <v>1755</v>
      </c>
      <c r="D227" s="177">
        <v>100000000</v>
      </c>
      <c r="E227" s="48" t="str">
        <f>IF(COUNTBLANK(D228:D230)&gt;0,"select units below",D228&amp;" "&amp;D229&amp;"/"&amp;D230)</f>
        <v>lb catalyst/year</v>
      </c>
      <c r="F227" s="42" t="s">
        <v>162</v>
      </c>
      <c r="G227" s="19"/>
      <c r="I227" s="201"/>
    </row>
    <row r="228" spans="2:21" outlineLevel="1">
      <c r="B228" s="16"/>
      <c r="C228" s="138"/>
      <c r="D228" s="177" t="s">
        <v>20</v>
      </c>
      <c r="E228" s="48" t="s">
        <v>919</v>
      </c>
      <c r="F228" s="48"/>
      <c r="G228" s="19"/>
      <c r="I228" s="201"/>
    </row>
    <row r="229" spans="2:21" outlineLevel="1">
      <c r="B229" s="16"/>
      <c r="C229" s="138"/>
      <c r="D229" s="177" t="s">
        <v>922</v>
      </c>
      <c r="E229" s="48" t="s">
        <v>921</v>
      </c>
      <c r="F229" s="42" t="s">
        <v>162</v>
      </c>
      <c r="G229" s="19"/>
      <c r="I229" s="201"/>
    </row>
    <row r="230" spans="2:21" outlineLevel="1">
      <c r="B230" s="16"/>
      <c r="C230" s="138"/>
      <c r="D230" s="177" t="s">
        <v>1841</v>
      </c>
      <c r="E230" s="48" t="s">
        <v>920</v>
      </c>
      <c r="F230" s="42" t="s">
        <v>162</v>
      </c>
      <c r="G230" s="19"/>
      <c r="I230" s="201"/>
    </row>
    <row r="231" spans="2:21" outlineLevel="1">
      <c r="B231" s="16"/>
      <c r="C231" s="138" t="s">
        <v>1756</v>
      </c>
      <c r="D231" s="49">
        <f>IFERROR(D227*VLOOKUP(D228,UnitConv[],5,FALSE)/VLOOKUP(OutMassUnit,UnitConv[],5,FALSE)*IF(D229="active phase",100/APWeightPercent,1)/CHOOSE(MATCH(D230,{"hour","day","week","month","year"},0),1,24,24*7,7884/12,7884),"-----")</f>
        <v>12683.916793505834</v>
      </c>
      <c r="E231" s="48" t="str">
        <f>OutMassUnit&amp;" catalyst/hour"</f>
        <v>lb catalyst/hour</v>
      </c>
      <c r="F231" s="48"/>
      <c r="G231" s="19"/>
      <c r="I231" s="201"/>
    </row>
    <row r="232" spans="2:21" outlineLevel="1">
      <c r="B232" s="16"/>
      <c r="C232" s="135"/>
      <c r="D232" s="99"/>
      <c r="E232" s="48"/>
      <c r="F232" s="48"/>
      <c r="G232" s="19"/>
      <c r="I232" s="201"/>
    </row>
    <row r="233" spans="2:21" outlineLevel="1">
      <c r="B233" s="16"/>
      <c r="C233" s="17" t="s">
        <v>1731</v>
      </c>
      <c r="D233" s="18"/>
      <c r="E233" s="18"/>
      <c r="F233" s="18"/>
      <c r="G233" s="19"/>
      <c r="I233" s="201"/>
    </row>
    <row r="234" spans="2:21" outlineLevel="1">
      <c r="B234" s="16"/>
      <c r="C234" s="138" t="s">
        <v>1753</v>
      </c>
      <c r="D234" s="49">
        <f>IF(DesignProductionRate=0,"-----",DesignProductionRate)</f>
        <v>12683.916793505834</v>
      </c>
      <c r="E234" s="48" t="str">
        <f>OutMassUnit&amp;" catalyst/hour"</f>
        <v>lb catalyst/hour</v>
      </c>
      <c r="F234" s="42" t="s">
        <v>162</v>
      </c>
      <c r="G234" s="19"/>
      <c r="I234" s="201"/>
    </row>
    <row r="235" spans="2:21" ht="17" outlineLevel="1" thickBot="1">
      <c r="B235" s="16"/>
      <c r="C235" s="18"/>
      <c r="D235" s="305"/>
      <c r="E235" s="18"/>
      <c r="F235" s="18"/>
      <c r="G235" s="19"/>
    </row>
    <row r="236" spans="2:21" s="308" customFormat="1" ht="32" customHeight="1" outlineLevel="1">
      <c r="B236" s="429" t="str">
        <f>"Equipment List: "&amp;C223</f>
        <v>Equipment List: Zeolite for FCC</v>
      </c>
      <c r="C236" s="430"/>
      <c r="D236" s="430"/>
      <c r="E236" s="430"/>
      <c r="F236" s="430"/>
      <c r="G236" s="430"/>
      <c r="H236" s="306"/>
      <c r="I236" s="306"/>
      <c r="J236" s="306"/>
      <c r="K236" s="306"/>
      <c r="L236" s="306"/>
      <c r="M236" s="306"/>
      <c r="N236" s="306"/>
      <c r="O236" s="306"/>
      <c r="P236" s="306"/>
      <c r="Q236" s="307"/>
    </row>
    <row r="237" spans="2:21" ht="19" outlineLevel="1">
      <c r="B237" s="16"/>
      <c r="C237" s="427" t="s">
        <v>1853</v>
      </c>
      <c r="D237" s="427"/>
      <c r="E237" s="427"/>
      <c r="F237" s="427"/>
      <c r="G237" s="427"/>
      <c r="H237" s="427"/>
      <c r="I237" s="427"/>
      <c r="J237" s="73"/>
      <c r="K237" s="427" t="s">
        <v>1852</v>
      </c>
      <c r="L237" s="427"/>
      <c r="M237" s="73"/>
      <c r="N237" s="427" t="s">
        <v>322</v>
      </c>
      <c r="O237" s="427"/>
      <c r="P237" s="427"/>
      <c r="Q237" s="19"/>
      <c r="S237" s="428" t="s">
        <v>1007</v>
      </c>
      <c r="T237" s="428"/>
      <c r="U237" s="308"/>
    </row>
    <row r="238" spans="2:21" outlineLevel="1">
      <c r="B238" s="16"/>
      <c r="C238" s="64" t="s">
        <v>306</v>
      </c>
      <c r="D238" s="64" t="s">
        <v>312</v>
      </c>
      <c r="E238" s="64" t="s">
        <v>313</v>
      </c>
      <c r="F238" s="64" t="s">
        <v>309</v>
      </c>
      <c r="G238" s="64" t="s">
        <v>314</v>
      </c>
      <c r="H238" s="64" t="s">
        <v>307</v>
      </c>
      <c r="I238" s="64" t="s">
        <v>308</v>
      </c>
      <c r="J238" s="64"/>
      <c r="K238" s="64" t="s">
        <v>1083</v>
      </c>
      <c r="L238" s="64" t="s">
        <v>1084</v>
      </c>
      <c r="M238" s="64"/>
      <c r="N238" s="64" t="s">
        <v>310</v>
      </c>
      <c r="O238" s="64" t="s">
        <v>358</v>
      </c>
      <c r="P238" s="64" t="s">
        <v>311</v>
      </c>
      <c r="Q238" s="19"/>
      <c r="S238" s="311" t="s">
        <v>306</v>
      </c>
      <c r="T238" s="311" t="s">
        <v>207</v>
      </c>
      <c r="U238" s="308"/>
    </row>
    <row r="239" spans="2:21" outlineLevel="1">
      <c r="B239" s="16"/>
      <c r="C239" s="69" t="s">
        <v>278</v>
      </c>
      <c r="D239" s="70"/>
      <c r="E239" s="70" t="str">
        <f ca="1">IFERROR(VLOOKUP(C239,fnEquipLibRange,16,FALSE),"")</f>
        <v>Carbon steel</v>
      </c>
      <c r="F239" s="70">
        <v>2</v>
      </c>
      <c r="G239" s="131">
        <v>11.36</v>
      </c>
      <c r="H239" s="107" t="str">
        <f ca="1">IFERROR(VLOOKUP(C239,fnEquipLibRange,2,FALSE),"")</f>
        <v>volume, m3</v>
      </c>
      <c r="I239" s="101" t="str">
        <f ca="1">IF(ISBLANK(G239),"",IF(G239&lt;VLOOKUP(C239,fnEquipLibRange,3,FALSE),"&gt;&gt;&gt; Too Small &lt;&lt;&lt;",IF(G239&gt;VLOOKUP(C239,fnEquipLibRange,4,FALSE),"&gt;&gt;&gt; Too Large &lt;&lt;&lt;","Yes")))</f>
        <v>Yes</v>
      </c>
      <c r="J239" s="101"/>
      <c r="K239" s="102">
        <f ca="1">IF(F239*G239=0,"",IFERROR(IF(F239*G239*$D$234/$D$231&lt;VLOOKUP(C239,fnEquipLibRange,3,FALSE),MAX(1,F239),MAX(ROUNDUP(F239*G239*$D$234/$D$231/VLOOKUP(C239,fnEquipLibRange,4,FALSE),0),F239)),""))</f>
        <v>2</v>
      </c>
      <c r="L239" s="103">
        <f ca="1">IF(F239*G239=0,"",IFERROR(IF(F239*G239*$D$234/$D$231&lt;VLOOKUP(C239,fnEquipLibRange,3,FALSE),VLOOKUP(C239,fnEquipLibRange,3,FALSE),F239*G239*$D$234/$D$231/MAX(ROUNDUP(F239*G239*$D$234/$D$231/VLOOKUP(C239,fnEquipLibRange,4,FALSE),0),F239)),""))</f>
        <v>11.36</v>
      </c>
      <c r="M239" s="103"/>
      <c r="N239" s="104">
        <f ca="1">IF($K239="","",IFERROR($K239*fnEquipCostCorr*fnEquipCostIndex*fnEquipConstMaterial,""))</f>
        <v>451556.45773828059</v>
      </c>
      <c r="O239" s="105">
        <f ca="1">IFERROR(fnEquipInstFactor*N239,"")</f>
        <v>767645.97815507697</v>
      </c>
      <c r="P239" s="106">
        <f ca="1">IFERROR(fnEquipLaborFactor*K239,"")</f>
        <v>0.6</v>
      </c>
      <c r="Q239" s="19"/>
      <c r="S239" s="95" t="str">
        <f>IF(ISBLANK(C239),"",C239)</f>
        <v>Reactor, jacketed, agitated</v>
      </c>
      <c r="T239" s="11" t="str">
        <f ca="1">IFERROR(IF(INDEX(fnEquipLibRange,fnEquipRowNum,39)="","",INDEX(fnEquipLibRange,fnEquipRowNum,39)),"")</f>
        <v/>
      </c>
      <c r="U239" s="308"/>
    </row>
    <row r="240" spans="2:21" outlineLevel="1">
      <c r="B240" s="16"/>
      <c r="C240" s="69" t="s">
        <v>278</v>
      </c>
      <c r="D240" s="70"/>
      <c r="E240" s="70" t="str">
        <f ca="1">IFERROR(VLOOKUP(C240,fnEquipLibRange,16,FALSE),"")</f>
        <v>Carbon steel</v>
      </c>
      <c r="F240" s="70">
        <v>2</v>
      </c>
      <c r="G240" s="131">
        <v>75.709999999999994</v>
      </c>
      <c r="H240" s="107" t="str">
        <f ca="1">IFERROR(VLOOKUP(C240,fnEquipLibRange,2,FALSE),"")</f>
        <v>volume, m3</v>
      </c>
      <c r="I240" s="101" t="str">
        <f ca="1">IF(ISBLANK(G240),"",IF(G240&lt;VLOOKUP(C240,fnEquipLibRange,3,FALSE),"&gt;&gt;&gt; Too Small &lt;&lt;&lt;",IF(G240&gt;VLOOKUP(C240,fnEquipLibRange,4,FALSE),"&gt;&gt;&gt; Too Large &lt;&lt;&lt;","Yes")))</f>
        <v>Yes</v>
      </c>
      <c r="J240" s="101"/>
      <c r="K240" s="102">
        <f ca="1">IF(F240*G240=0,"",IFERROR(IF(F240*G240*$D$234/$D$231&lt;VLOOKUP(C240,fnEquipLibRange,3,FALSE),MAX(1,F240),MAX(ROUNDUP(F240*G240*$D$234/$D$231/VLOOKUP(C240,fnEquipLibRange,4,FALSE),0),F240)),""))</f>
        <v>2</v>
      </c>
      <c r="L240" s="103">
        <f ca="1">IF(F240*G240=0,"",IFERROR(IF(F240*G240*$D$234/$D$231&lt;VLOOKUP(C240,fnEquipLibRange,3,FALSE),VLOOKUP(C240,fnEquipLibRange,3,FALSE),F240*G240*$D$234/$D$231/MAX(ROUNDUP(F240*G240*$D$234/$D$231/VLOOKUP(C240,fnEquipLibRange,4,FALSE),0),F240)),""))</f>
        <v>75.709999999999994</v>
      </c>
      <c r="M240" s="103"/>
      <c r="N240" s="104">
        <f ca="1">IF($K240="","",IFERROR($K240*fnEquipCostCorr*fnEquipCostIndex*fnEquipConstMaterial,""))</f>
        <v>1716720.3717098595</v>
      </c>
      <c r="O240" s="105">
        <f ca="1">IFERROR(fnEquipInstFactor*N240,"")</f>
        <v>2918424.6319067609</v>
      </c>
      <c r="P240" s="106">
        <f ca="1">IFERROR(fnEquipLaborFactor*K240,"")</f>
        <v>0.6</v>
      </c>
      <c r="Q240" s="19"/>
      <c r="S240" s="95" t="str">
        <f t="shared" ref="S240:S278" si="4">IF(ISBLANK(C240),"",C240)</f>
        <v>Reactor, jacketed, agitated</v>
      </c>
      <c r="T240" s="11" t="str">
        <f ca="1">IFERROR(IF(INDEX(fnEquipLibRange,fnEquipRowNum,39)="","",INDEX(fnEquipLibRange,fnEquipRowNum,39)),"")</f>
        <v/>
      </c>
    </row>
    <row r="241" spans="2:20" outlineLevel="1">
      <c r="B241" s="16"/>
      <c r="C241" s="69" t="s">
        <v>460</v>
      </c>
      <c r="D241" s="70"/>
      <c r="E241" s="70" t="str">
        <f ca="1">IFERROR(VLOOKUP(C241,fnEquipLibRange,16,FALSE),"")</f>
        <v>Carbon steel</v>
      </c>
      <c r="F241" s="70">
        <v>3</v>
      </c>
      <c r="G241" s="131">
        <v>2673.8</v>
      </c>
      <c r="H241" s="107" t="str">
        <f ca="1">IFERROR(VLOOKUP(C241,fnEquipLibRange,2,FALSE),"")</f>
        <v>Volume, ft3</v>
      </c>
      <c r="I241" s="101" t="str">
        <f ca="1">IF(ISBLANK(G241),"",IF(G241&lt;VLOOKUP(C241,fnEquipLibRange,3,FALSE),"&gt;&gt;&gt; Too Small &lt;&lt;&lt;",IF(G241&gt;VLOOKUP(C241,fnEquipLibRange,4,FALSE),"&gt;&gt;&gt; Too Large &lt;&lt;&lt;","Yes")))</f>
        <v>&gt;&gt;&gt; Too Large &lt;&lt;&lt;</v>
      </c>
      <c r="J241" s="101"/>
      <c r="K241" s="102">
        <f ca="1">IF(F241*G241=0,"",IFERROR(IF(F241*G241*$D$234/$D$231&lt;VLOOKUP(C241,fnEquipLibRange,3,FALSE),MAX(1,F241),MAX(ROUNDUP(F241*G241*$D$234/$D$231/VLOOKUP(C241,fnEquipLibRange,4,FALSE),0),F241)),""))</f>
        <v>9</v>
      </c>
      <c r="L241" s="103">
        <f ca="1">IF(F241*G241=0,"",IFERROR(IF(F241*G241*$D$234/$D$231&lt;VLOOKUP(C241,fnEquipLibRange,3,FALSE),VLOOKUP(C241,fnEquipLibRange,3,FALSE),F241*G241*$D$234/$D$231/MAX(ROUNDUP(F241*G241*$D$234/$D$231/VLOOKUP(C241,fnEquipLibRange,4,FALSE),0),F241)),""))</f>
        <v>891.26666666666677</v>
      </c>
      <c r="M241" s="103"/>
      <c r="N241" s="104">
        <f ca="1">IF($K241="","",IFERROR($K241*fnEquipCostCorr*fnEquipCostIndex*fnEquipConstMaterial,""))</f>
        <v>3231935.0767071247</v>
      </c>
      <c r="O241" s="105">
        <f ca="1">IFERROR(fnEquipInstFactor*N241,"")</f>
        <v>5817483.138072825</v>
      </c>
      <c r="P241" s="106">
        <f ca="1">IFERROR(fnEquipLaborFactor*K241,"")</f>
        <v>1.44</v>
      </c>
      <c r="Q241" s="19"/>
      <c r="S241" s="95" t="str">
        <f t="shared" si="4"/>
        <v>Crystallizer, batch evaporative</v>
      </c>
      <c r="T241" s="11" t="str">
        <f ca="1">IFERROR(IF(INDEX(fnEquipLibRange,fnEquipRowNum,39)="","",INDEX(fnEquipLibRange,fnEquipRowNum,39)),"")</f>
        <v>Stainless steel</v>
      </c>
    </row>
    <row r="242" spans="2:20" outlineLevel="1">
      <c r="B242" s="16"/>
      <c r="C242" s="69" t="s">
        <v>552</v>
      </c>
      <c r="D242" s="70"/>
      <c r="E242" s="70" t="s">
        <v>1720</v>
      </c>
      <c r="F242" s="70">
        <v>2</v>
      </c>
      <c r="G242" s="131">
        <v>100</v>
      </c>
      <c r="H242" s="107" t="str">
        <f ca="1">IFERROR(VLOOKUP(C242,fnEquipLibRange,2,FALSE),"")</f>
        <v>Filtering area, ft2</v>
      </c>
      <c r="I242" s="101" t="str">
        <f ca="1">IF(ISBLANK(G242),"",IF(G242&lt;VLOOKUP(C242,fnEquipLibRange,3,FALSE),"&gt;&gt;&gt; Too Small &lt;&lt;&lt;",IF(G242&gt;VLOOKUP(C242,fnEquipLibRange,4,FALSE),"&gt;&gt;&gt; Too Large &lt;&lt;&lt;","Yes")))</f>
        <v>Yes</v>
      </c>
      <c r="J242" s="101"/>
      <c r="K242" s="102">
        <f ca="1">IF(F242*G242=0,"",IFERROR(IF(F242*G242*$D$234/$D$231&lt;VLOOKUP(C242,fnEquipLibRange,3,FALSE),MAX(1,F242),MAX(ROUNDUP(F242*G242*$D$234/$D$231/VLOOKUP(C242,fnEquipLibRange,4,FALSE),0),F242)),""))</f>
        <v>2</v>
      </c>
      <c r="L242" s="103">
        <f ca="1">IF(F242*G242=0,"",IFERROR(IF(F242*G242*$D$234/$D$231&lt;VLOOKUP(C242,fnEquipLibRange,3,FALSE),VLOOKUP(C242,fnEquipLibRange,3,FALSE),F242*G242*$D$234/$D$231/MAX(ROUNDUP(F242*G242*$D$234/$D$231/VLOOKUP(C242,fnEquipLibRange,4,FALSE),0),F242)),""))</f>
        <v>100</v>
      </c>
      <c r="M242" s="103"/>
      <c r="N242" s="104">
        <f ca="1">IF($K242="","",IFERROR($K242*fnEquipCostCorr*fnEquipCostIndex*fnEquipConstMaterial,""))</f>
        <v>427116.94493401062</v>
      </c>
      <c r="O242" s="105">
        <f ca="1">IFERROR(fnEquipInstFactor*N242,"")</f>
        <v>721827.63693847798</v>
      </c>
      <c r="P242" s="106">
        <f ca="1">IFERROR(fnEquipLaborFactor*K242,"")</f>
        <v>0.4</v>
      </c>
      <c r="Q242" s="19"/>
      <c r="S242" s="95" t="str">
        <f t="shared" si="4"/>
        <v>Filter, rotary-drum vacuum</v>
      </c>
      <c r="T242" s="11" t="str">
        <f ca="1">IFERROR(IF(INDEX(fnEquipLibRange,fnEquipRowNum,39)="","",INDEX(fnEquipLibRange,fnEquipRowNum,39)),"")</f>
        <v/>
      </c>
    </row>
    <row r="243" spans="2:20" outlineLevel="1">
      <c r="B243" s="16"/>
      <c r="C243" s="69" t="s">
        <v>278</v>
      </c>
      <c r="D243" s="70"/>
      <c r="E243" s="70" t="str">
        <f ca="1">IFERROR(VLOOKUP(C243,fnEquipLibRange,16,FALSE),"")</f>
        <v>Carbon steel</v>
      </c>
      <c r="F243" s="70">
        <v>1</v>
      </c>
      <c r="G243" s="131">
        <v>5.68</v>
      </c>
      <c r="H243" s="107" t="str">
        <f ca="1">IFERROR(VLOOKUP(C243,fnEquipLibRange,2,FALSE),"")</f>
        <v>volume, m3</v>
      </c>
      <c r="I243" s="101" t="str">
        <f ca="1">IF(ISBLANK(G243),"",IF(G243&lt;VLOOKUP(C243,fnEquipLibRange,3,FALSE),"&gt;&gt;&gt; Too Small &lt;&lt;&lt;",IF(G243&gt;VLOOKUP(C243,fnEquipLibRange,4,FALSE),"&gt;&gt;&gt; Too Large &lt;&lt;&lt;","Yes")))</f>
        <v>Yes</v>
      </c>
      <c r="J243" s="101"/>
      <c r="K243" s="102">
        <f ca="1">IF(F243*G243=0,"",IFERROR(IF(F243*G243*$D$234/$D$231&lt;VLOOKUP(C243,fnEquipLibRange,3,FALSE),MAX(1,F243),MAX(ROUNDUP(F243*G243*$D$234/$D$231/VLOOKUP(C243,fnEquipLibRange,4,FALSE),0),F243)),""))</f>
        <v>1</v>
      </c>
      <c r="L243" s="103">
        <f ca="1">IF(F243*G243=0,"",IFERROR(IF(F243*G243*$D$234/$D$231&lt;VLOOKUP(C243,fnEquipLibRange,3,FALSE),VLOOKUP(C243,fnEquipLibRange,3,FALSE),F243*G243*$D$234/$D$231/MAX(ROUNDUP(F243*G243*$D$234/$D$231/VLOOKUP(C243,fnEquipLibRange,4,FALSE),0),F243)),""))</f>
        <v>5.68</v>
      </c>
      <c r="M243" s="103"/>
      <c r="N243" s="104">
        <f ca="1">IF($K243="","",IFERROR($K243*fnEquipCostCorr*fnEquipCostIndex*fnEquipConstMaterial,""))</f>
        <v>150155.95759853683</v>
      </c>
      <c r="O243" s="105">
        <f ca="1">IFERROR(fnEquipInstFactor*N243,"")</f>
        <v>255265.12791751261</v>
      </c>
      <c r="P243" s="106">
        <f ca="1">IFERROR(fnEquipLaborFactor*K243,"")</f>
        <v>0.3</v>
      </c>
      <c r="Q243" s="19"/>
      <c r="S243" s="95" t="str">
        <f t="shared" si="4"/>
        <v>Reactor, jacketed, agitated</v>
      </c>
      <c r="T243" s="11" t="str">
        <f ca="1">IFERROR(IF(INDEX(fnEquipLibRange,fnEquipRowNum,39)="","",INDEX(fnEquipLibRange,fnEquipRowNum,39)),"")</f>
        <v/>
      </c>
    </row>
    <row r="244" spans="2:20" outlineLevel="1">
      <c r="B244" s="16"/>
      <c r="C244" s="69" t="s">
        <v>278</v>
      </c>
      <c r="D244" s="70"/>
      <c r="E244" s="70" t="str">
        <f ca="1">IFERROR(VLOOKUP(C244,fnEquipLibRange,16,FALSE),"")</f>
        <v>Carbon steel</v>
      </c>
      <c r="F244" s="70">
        <v>1</v>
      </c>
      <c r="G244" s="131">
        <v>0.76</v>
      </c>
      <c r="H244" s="107" t="str">
        <f ca="1">IFERROR(VLOOKUP(C244,fnEquipLibRange,2,FALSE),"")</f>
        <v>volume, m3</v>
      </c>
      <c r="I244" s="101" t="str">
        <f ca="1">IF(ISBLANK(G244),"",IF(G244&lt;VLOOKUP(C244,fnEquipLibRange,3,FALSE),"&gt;&gt;&gt; Too Small &lt;&lt;&lt;",IF(G244&gt;VLOOKUP(C244,fnEquipLibRange,4,FALSE),"&gt;&gt;&gt; Too Large &lt;&lt;&lt;","Yes")))</f>
        <v>Yes</v>
      </c>
      <c r="J244" s="101"/>
      <c r="K244" s="102">
        <f ca="1">IF(F244*G244=0,"",IFERROR(IF(F244*G244*$D$234/$D$231&lt;VLOOKUP(C244,fnEquipLibRange,3,FALSE),MAX(1,F244),MAX(ROUNDUP(F244*G244*$D$234/$D$231/VLOOKUP(C244,fnEquipLibRange,4,FALSE),0),F244)),""))</f>
        <v>1</v>
      </c>
      <c r="L244" s="103">
        <f ca="1">IF(F244*G244=0,"",IFERROR(IF(F244*G244*$D$234/$D$231&lt;VLOOKUP(C244,fnEquipLibRange,3,FALSE),VLOOKUP(C244,fnEquipLibRange,3,FALSE),F244*G244*$D$234/$D$231/MAX(ROUNDUP(F244*G244*$D$234/$D$231/VLOOKUP(C244,fnEquipLibRange,4,FALSE),0),F244)),""))</f>
        <v>0.76</v>
      </c>
      <c r="M244" s="103"/>
      <c r="N244" s="104">
        <f ca="1">IF($K244="","",IFERROR($K244*fnEquipCostCorr*fnEquipCostIndex*fnEquipConstMaterial,""))</f>
        <v>68530.304179404731</v>
      </c>
      <c r="O244" s="105">
        <f ca="1">IFERROR(fnEquipInstFactor*N244,"")</f>
        <v>116501.51710498804</v>
      </c>
      <c r="P244" s="106">
        <f ca="1">IFERROR(fnEquipLaborFactor*K244,"")</f>
        <v>0.3</v>
      </c>
      <c r="Q244" s="19"/>
      <c r="S244" s="95" t="str">
        <f t="shared" si="4"/>
        <v>Reactor, jacketed, agitated</v>
      </c>
      <c r="T244" s="11" t="str">
        <f ca="1">IFERROR(IF(INDEX(fnEquipLibRange,fnEquipRowNum,39)="","",INDEX(fnEquipLibRange,fnEquipRowNum,39)),"")</f>
        <v/>
      </c>
    </row>
    <row r="245" spans="2:20" outlineLevel="1">
      <c r="B245" s="16"/>
      <c r="C245" s="69" t="s">
        <v>480</v>
      </c>
      <c r="D245" s="70"/>
      <c r="E245" s="70" t="str">
        <f ca="1">IFERROR(VLOOKUP(C245,fnEquipLibRange,16,FALSE),"")</f>
        <v>Carbon steel</v>
      </c>
      <c r="F245" s="70">
        <v>1</v>
      </c>
      <c r="G245" s="131">
        <v>600</v>
      </c>
      <c r="H245" s="107" t="str">
        <f ca="1">IFERROR(VLOOKUP(C245,fnEquipLibRange,2,FALSE),"")</f>
        <v>Heat transfer area, ft2</v>
      </c>
      <c r="I245" s="101" t="str">
        <f ca="1">IF(ISBLANK(G245),"",IF(G245&lt;VLOOKUP(C245,fnEquipLibRange,3,FALSE),"&gt;&gt;&gt; Too Small &lt;&lt;&lt;",IF(G245&gt;VLOOKUP(C245,fnEquipLibRange,4,FALSE),"&gt;&gt;&gt; Too Large &lt;&lt;&lt;","Yes")))</f>
        <v>Yes</v>
      </c>
      <c r="J245" s="101"/>
      <c r="K245" s="102">
        <f ca="1">IF(F245*G245=0,"",IFERROR(IF(F245*G245*$D$234/$D$231&lt;VLOOKUP(C245,fnEquipLibRange,3,FALSE),MAX(1,F245),MAX(ROUNDUP(F245*G245*$D$234/$D$231/VLOOKUP(C245,fnEquipLibRange,4,FALSE),0),F245)),""))</f>
        <v>1</v>
      </c>
      <c r="L245" s="103">
        <f ca="1">IF(F245*G245=0,"",IFERROR(IF(F245*G245*$D$234/$D$231&lt;VLOOKUP(C245,fnEquipLibRange,3,FALSE),VLOOKUP(C245,fnEquipLibRange,3,FALSE),F245*G245*$D$234/$D$231/MAX(ROUNDUP(F245*G245*$D$234/$D$231/VLOOKUP(C245,fnEquipLibRange,4,FALSE),0),F245)),""))</f>
        <v>600</v>
      </c>
      <c r="M245" s="103"/>
      <c r="N245" s="104">
        <f ca="1">IF($K245="","",IFERROR($K245*fnEquipCostCorr*fnEquipCostIndex*fnEquipConstMaterial,""))</f>
        <v>258896.19535520946</v>
      </c>
      <c r="O245" s="105">
        <f ca="1">IFERROR(fnEquipInstFactor*N245,"")</f>
        <v>541093.04829238774</v>
      </c>
      <c r="P245" s="106">
        <f ca="1">IFERROR(fnEquipLaborFactor*K245,"")</f>
        <v>0.25</v>
      </c>
      <c r="Q245" s="19"/>
      <c r="S245" s="95" t="str">
        <f t="shared" si="4"/>
        <v>Evaporator, forced circulation</v>
      </c>
      <c r="T245" s="11" t="str">
        <f ca="1">IFERROR(IF(INDEX(fnEquipLibRange,fnEquipRowNum,39)="","",INDEX(fnEquipLibRange,fnEquipRowNum,39)),"")</f>
        <v/>
      </c>
    </row>
    <row r="246" spans="2:20" outlineLevel="1">
      <c r="B246" s="16"/>
      <c r="C246" s="69" t="s">
        <v>278</v>
      </c>
      <c r="D246" s="70"/>
      <c r="E246" s="70" t="str">
        <f ca="1">IFERROR(VLOOKUP(C246,fnEquipLibRange,16,FALSE),"")</f>
        <v>Carbon steel</v>
      </c>
      <c r="F246" s="70">
        <v>1</v>
      </c>
      <c r="G246" s="131">
        <v>11.36</v>
      </c>
      <c r="H246" s="107" t="str">
        <f ca="1">IFERROR(VLOOKUP(C246,fnEquipLibRange,2,FALSE),"")</f>
        <v>volume, m3</v>
      </c>
      <c r="I246" s="101" t="str">
        <f ca="1">IF(ISBLANK(G246),"",IF(G246&lt;VLOOKUP(C246,fnEquipLibRange,3,FALSE),"&gt;&gt;&gt; Too Small &lt;&lt;&lt;",IF(G246&gt;VLOOKUP(C246,fnEquipLibRange,4,FALSE),"&gt;&gt;&gt; Too Large &lt;&lt;&lt;","Yes")))</f>
        <v>Yes</v>
      </c>
      <c r="J246" s="101"/>
      <c r="K246" s="102">
        <f ca="1">IF(F246*G246=0,"",IFERROR(IF(F246*G246*$D$234/$D$231&lt;VLOOKUP(C246,fnEquipLibRange,3,FALSE),MAX(1,F246),MAX(ROUNDUP(F246*G246*$D$234/$D$231/VLOOKUP(C246,fnEquipLibRange,4,FALSE),0),F246)),""))</f>
        <v>1</v>
      </c>
      <c r="L246" s="103">
        <f ca="1">IF(F246*G246=0,"",IFERROR(IF(F246*G246*$D$234/$D$231&lt;VLOOKUP(C246,fnEquipLibRange,3,FALSE),VLOOKUP(C246,fnEquipLibRange,3,FALSE),F246*G246*$D$234/$D$231/MAX(ROUNDUP(F246*G246*$D$234/$D$231/VLOOKUP(C246,fnEquipLibRange,4,FALSE),0),F246)),""))</f>
        <v>11.36</v>
      </c>
      <c r="M246" s="103"/>
      <c r="N246" s="104">
        <f ca="1">IF($K246="","",IFERROR($K246*fnEquipCostCorr*fnEquipCostIndex*fnEquipConstMaterial,""))</f>
        <v>225778.22886914029</v>
      </c>
      <c r="O246" s="105">
        <f ca="1">IFERROR(fnEquipInstFactor*N246,"")</f>
        <v>383822.98907753848</v>
      </c>
      <c r="P246" s="106">
        <f ca="1">IFERROR(fnEquipLaborFactor*K246,"")</f>
        <v>0.3</v>
      </c>
      <c r="Q246" s="19"/>
      <c r="S246" s="95" t="str">
        <f t="shared" si="4"/>
        <v>Reactor, jacketed, agitated</v>
      </c>
      <c r="T246" s="11" t="str">
        <f ca="1">IFERROR(IF(INDEX(fnEquipLibRange,fnEquipRowNum,39)="","",INDEX(fnEquipLibRange,fnEquipRowNum,39)),"")</f>
        <v/>
      </c>
    </row>
    <row r="247" spans="2:20" outlineLevel="1">
      <c r="B247" s="16"/>
      <c r="C247" s="69" t="s">
        <v>758</v>
      </c>
      <c r="D247" s="70"/>
      <c r="E247" s="70" t="s">
        <v>353</v>
      </c>
      <c r="F247" s="70">
        <v>1</v>
      </c>
      <c r="G247" s="131">
        <v>738.27</v>
      </c>
      <c r="H247" s="107" t="str">
        <f ca="1">IFERROR(VLOOKUP(C247,fnEquipLibRange,2,FALSE),"")</f>
        <v>Heat-transfer area, ft2</v>
      </c>
      <c r="I247" s="101" t="str">
        <f ca="1">IF(ISBLANK(G247),"",IF(G247&lt;VLOOKUP(C247,fnEquipLibRange,3,FALSE),"&gt;&gt;&gt; Too Small &lt;&lt;&lt;",IF(G247&gt;VLOOKUP(C247,fnEquipLibRange,4,FALSE),"&gt;&gt;&gt; Too Large &lt;&lt;&lt;","Yes")))</f>
        <v>Yes</v>
      </c>
      <c r="J247" s="101"/>
      <c r="K247" s="102">
        <f ca="1">IF(F247*G247=0,"",IFERROR(IF(F247*G247*$D$234/$D$231&lt;VLOOKUP(C247,fnEquipLibRange,3,FALSE),MAX(1,F247),MAX(ROUNDUP(F247*G247*$D$234/$D$231/VLOOKUP(C247,fnEquipLibRange,4,FALSE),0),F247)),""))</f>
        <v>1</v>
      </c>
      <c r="L247" s="103">
        <f ca="1">IF(F247*G247=0,"",IFERROR(IF(F247*G247*$D$234/$D$231&lt;VLOOKUP(C247,fnEquipLibRange,3,FALSE),VLOOKUP(C247,fnEquipLibRange,3,FALSE),F247*G247*$D$234/$D$231/MAX(ROUNDUP(F247*G247*$D$234/$D$231/VLOOKUP(C247,fnEquipLibRange,4,FALSE),0),F247)),""))</f>
        <v>738.27</v>
      </c>
      <c r="M247" s="103"/>
      <c r="N247" s="104">
        <f ca="1">IF($K247="","",IFERROR($K247*fnEquipCostCorr*fnEquipCostIndex*fnEquipConstMaterial,""))</f>
        <v>286307.01716921717</v>
      </c>
      <c r="O247" s="105">
        <f ca="1">IFERROR(fnEquipInstFactor*N247,"")</f>
        <v>469543.50815751613</v>
      </c>
      <c r="P247" s="106">
        <f ca="1">IFERROR(fnEquipLaborFactor*K247,"")</f>
        <v>0.5</v>
      </c>
      <c r="Q247" s="19"/>
      <c r="S247" s="95" t="str">
        <f t="shared" si="4"/>
        <v>Dryer, indirect-heat steam-tube rotary (Seider)</v>
      </c>
      <c r="T247" s="11" t="str">
        <f ca="1">IFERROR(IF(INDEX(fnEquipLibRange,fnEquipRowNum,39)="","",INDEX(fnEquipLibRange,fnEquipRowNum,39)),"")</f>
        <v>Stainless steel</v>
      </c>
    </row>
    <row r="248" spans="2:20" outlineLevel="1">
      <c r="B248" s="16"/>
      <c r="C248" s="69" t="s">
        <v>278</v>
      </c>
      <c r="D248" s="70"/>
      <c r="E248" s="70" t="str">
        <f ca="1">IFERROR(VLOOKUP(C248,fnEquipLibRange,16,FALSE),"")</f>
        <v>Carbon steel</v>
      </c>
      <c r="F248" s="70">
        <v>1</v>
      </c>
      <c r="G248" s="131">
        <v>24.04</v>
      </c>
      <c r="H248" s="107" t="str">
        <f ca="1">IFERROR(VLOOKUP(C248,fnEquipLibRange,2,FALSE),"")</f>
        <v>volume, m3</v>
      </c>
      <c r="I248" s="101" t="str">
        <f ca="1">IF(ISBLANK(G248),"",IF(G248&lt;VLOOKUP(C248,fnEquipLibRange,3,FALSE),"&gt;&gt;&gt; Too Small &lt;&lt;&lt;",IF(G248&gt;VLOOKUP(C248,fnEquipLibRange,4,FALSE),"&gt;&gt;&gt; Too Large &lt;&lt;&lt;","Yes")))</f>
        <v>Yes</v>
      </c>
      <c r="J248" s="101"/>
      <c r="K248" s="102">
        <f ca="1">IF(F248*G248=0,"",IFERROR(IF(F248*G248*$D$234/$D$231&lt;VLOOKUP(C248,fnEquipLibRange,3,FALSE),MAX(1,F248),MAX(ROUNDUP(F248*G248*$D$234/$D$231/VLOOKUP(C248,fnEquipLibRange,4,FALSE),0),F248)),""))</f>
        <v>1</v>
      </c>
      <c r="L248" s="103">
        <f ca="1">IF(F248*G248=0,"",IFERROR(IF(F248*G248*$D$234/$D$231&lt;VLOOKUP(C248,fnEquipLibRange,3,FALSE),VLOOKUP(C248,fnEquipLibRange,3,FALSE),F248*G248*$D$234/$D$231/MAX(ROUNDUP(F248*G248*$D$234/$D$231/VLOOKUP(C248,fnEquipLibRange,4,FALSE),0),F248)),""))</f>
        <v>24.04</v>
      </c>
      <c r="M248" s="103"/>
      <c r="N248" s="104">
        <f ca="1">IF($K248="","",IFERROR($K248*fnEquipCostCorr*fnEquipCostIndex*fnEquipConstMaterial,""))</f>
        <v>371739.85225417453</v>
      </c>
      <c r="O248" s="105">
        <f ca="1">IFERROR(fnEquipInstFactor*N248,"")</f>
        <v>631957.74883209669</v>
      </c>
      <c r="P248" s="106">
        <f ca="1">IFERROR(fnEquipLaborFactor*K248,"")</f>
        <v>0.3</v>
      </c>
      <c r="Q248" s="19"/>
      <c r="S248" s="95" t="str">
        <f t="shared" si="4"/>
        <v>Reactor, jacketed, agitated</v>
      </c>
      <c r="T248" s="11" t="str">
        <f ca="1">IFERROR(IF(INDEX(fnEquipLibRange,fnEquipRowNum,39)="","",INDEX(fnEquipLibRange,fnEquipRowNum,39)),"")</f>
        <v/>
      </c>
    </row>
    <row r="249" spans="2:20" outlineLevel="1">
      <c r="B249" s="16"/>
      <c r="C249" s="69" t="s">
        <v>278</v>
      </c>
      <c r="D249" s="70"/>
      <c r="E249" s="70" t="str">
        <f ca="1">IFERROR(VLOOKUP(C249,fnEquipLibRange,16,FALSE),"")</f>
        <v>Carbon steel</v>
      </c>
      <c r="F249" s="70">
        <v>1</v>
      </c>
      <c r="G249" s="131">
        <v>28.39</v>
      </c>
      <c r="H249" s="107" t="str">
        <f ca="1">IFERROR(VLOOKUP(C249,fnEquipLibRange,2,FALSE),"")</f>
        <v>volume, m3</v>
      </c>
      <c r="I249" s="101" t="str">
        <f ca="1">IF(ISBLANK(G249),"",IF(G249&lt;VLOOKUP(C249,fnEquipLibRange,3,FALSE),"&gt;&gt;&gt; Too Small &lt;&lt;&lt;",IF(G249&gt;VLOOKUP(C249,fnEquipLibRange,4,FALSE),"&gt;&gt;&gt; Too Large &lt;&lt;&lt;","Yes")))</f>
        <v>Yes</v>
      </c>
      <c r="J249" s="101"/>
      <c r="K249" s="102">
        <f ca="1">IF(F249*G249=0,"",IFERROR(IF(F249*G249*$D$234/$D$231&lt;VLOOKUP(C249,fnEquipLibRange,3,FALSE),MAX(1,F249),MAX(ROUNDUP(F249*G249*$D$234/$D$231/VLOOKUP(C249,fnEquipLibRange,4,FALSE),0),F249)),""))</f>
        <v>1</v>
      </c>
      <c r="L249" s="103">
        <f ca="1">IF(F249*G249=0,"",IFERROR(IF(F249*G249*$D$234/$D$231&lt;VLOOKUP(C249,fnEquipLibRange,3,FALSE),VLOOKUP(C249,fnEquipLibRange,3,FALSE),F249*G249*$D$234/$D$231/MAX(ROUNDUP(F249*G249*$D$234/$D$231/VLOOKUP(C249,fnEquipLibRange,4,FALSE),0),F249)),""))</f>
        <v>28.39</v>
      </c>
      <c r="M249" s="103"/>
      <c r="N249" s="104">
        <f ca="1">IF($K249="","",IFERROR($K249*fnEquipCostCorr*fnEquipCostIndex*fnEquipConstMaterial,""))</f>
        <v>417795.47955732897</v>
      </c>
      <c r="O249" s="105">
        <f ca="1">IFERROR(fnEquipInstFactor*N249,"")</f>
        <v>710252.31524745922</v>
      </c>
      <c r="P249" s="106">
        <f ca="1">IFERROR(fnEquipLaborFactor*K249,"")</f>
        <v>0.3</v>
      </c>
      <c r="Q249" s="19"/>
      <c r="S249" s="95" t="str">
        <f t="shared" si="4"/>
        <v>Reactor, jacketed, agitated</v>
      </c>
      <c r="T249" s="11" t="str">
        <f ca="1">IFERROR(IF(INDEX(fnEquipLibRange,fnEquipRowNum,39)="","",INDEX(fnEquipLibRange,fnEquipRowNum,39)),"")</f>
        <v/>
      </c>
    </row>
    <row r="250" spans="2:20" outlineLevel="1">
      <c r="B250" s="16"/>
      <c r="C250" s="69" t="s">
        <v>552</v>
      </c>
      <c r="D250" s="70"/>
      <c r="E250" s="70" t="s">
        <v>1720</v>
      </c>
      <c r="F250" s="70">
        <v>1</v>
      </c>
      <c r="G250" s="131">
        <v>100</v>
      </c>
      <c r="H250" s="107" t="str">
        <f ca="1">IFERROR(VLOOKUP(C250,fnEquipLibRange,2,FALSE),"")</f>
        <v>Filtering area, ft2</v>
      </c>
      <c r="I250" s="101" t="str">
        <f ca="1">IF(ISBLANK(G250),"",IF(G250&lt;VLOOKUP(C250,fnEquipLibRange,3,FALSE),"&gt;&gt;&gt; Too Small &lt;&lt;&lt;",IF(G250&gt;VLOOKUP(C250,fnEquipLibRange,4,FALSE),"&gt;&gt;&gt; Too Large &lt;&lt;&lt;","Yes")))</f>
        <v>Yes</v>
      </c>
      <c r="J250" s="101"/>
      <c r="K250" s="102">
        <f ca="1">IF(F250*G250=0,"",IFERROR(IF(F250*G250*$D$234/$D$231&lt;VLOOKUP(C250,fnEquipLibRange,3,FALSE),MAX(1,F250),MAX(ROUNDUP(F250*G250*$D$234/$D$231/VLOOKUP(C250,fnEquipLibRange,4,FALSE),0),F250)),""))</f>
        <v>1</v>
      </c>
      <c r="L250" s="103">
        <f ca="1">IF(F250*G250=0,"",IFERROR(IF(F250*G250*$D$234/$D$231&lt;VLOOKUP(C250,fnEquipLibRange,3,FALSE),VLOOKUP(C250,fnEquipLibRange,3,FALSE),F250*G250*$D$234/$D$231/MAX(ROUNDUP(F250*G250*$D$234/$D$231/VLOOKUP(C250,fnEquipLibRange,4,FALSE),0),F250)),""))</f>
        <v>100</v>
      </c>
      <c r="M250" s="103"/>
      <c r="N250" s="104">
        <f ca="1">IF($K250="","",IFERROR($K250*fnEquipCostCorr*fnEquipCostIndex*fnEquipConstMaterial,""))</f>
        <v>213558.47246700531</v>
      </c>
      <c r="O250" s="105">
        <f ca="1">IFERROR(fnEquipInstFactor*N250,"")</f>
        <v>360913.81846923899</v>
      </c>
      <c r="P250" s="106">
        <f ca="1">IFERROR(fnEquipLaborFactor*K250,"")</f>
        <v>0.2</v>
      </c>
      <c r="Q250" s="19"/>
      <c r="S250" s="95" t="str">
        <f t="shared" si="4"/>
        <v>Filter, rotary-drum vacuum</v>
      </c>
      <c r="T250" s="11" t="str">
        <f ca="1">IFERROR(IF(INDEX(fnEquipLibRange,fnEquipRowNum,39)="","",INDEX(fnEquipLibRange,fnEquipRowNum,39)),"")</f>
        <v/>
      </c>
    </row>
    <row r="251" spans="2:20" outlineLevel="1">
      <c r="B251" s="16"/>
      <c r="C251" s="69" t="s">
        <v>517</v>
      </c>
      <c r="D251" s="70"/>
      <c r="E251" s="70" t="str">
        <f ca="1">IFERROR(VLOOKUP(C251,fnEquipLibRange,16,FALSE),"")</f>
        <v>Carbon steel</v>
      </c>
      <c r="F251" s="70">
        <v>3</v>
      </c>
      <c r="G251" s="131">
        <v>100</v>
      </c>
      <c r="H251" s="107" t="str">
        <f ca="1">IFERROR(VLOOKUP(C251,fnEquipLibRange,2,FALSE),"")</f>
        <v>Volume, ft3</v>
      </c>
      <c r="I251" s="101" t="str">
        <f ca="1">IF(ISBLANK(G251),"",IF(G251&lt;VLOOKUP(C251,fnEquipLibRange,3,FALSE),"&gt;&gt;&gt; Too Small &lt;&lt;&lt;",IF(G251&gt;VLOOKUP(C251,fnEquipLibRange,4,FALSE),"&gt;&gt;&gt; Too Large &lt;&lt;&lt;","Yes")))</f>
        <v>Yes</v>
      </c>
      <c r="J251" s="101"/>
      <c r="K251" s="102">
        <f ca="1">IF(F251*G251=0,"",IFERROR(IF(F251*G251*$D$234/$D$231&lt;VLOOKUP(C251,fnEquipLibRange,3,FALSE),MAX(1,F251),MAX(ROUNDUP(F251*G251*$D$234/$D$231/VLOOKUP(C251,fnEquipLibRange,4,FALSE),0),F251)),""))</f>
        <v>3</v>
      </c>
      <c r="L251" s="103">
        <f ca="1">IF(F251*G251=0,"",IFERROR(IF(F251*G251*$D$234/$D$231&lt;VLOOKUP(C251,fnEquipLibRange,3,FALSE),VLOOKUP(C251,fnEquipLibRange,3,FALSE),F251*G251*$D$234/$D$231/MAX(ROUNDUP(F251*G251*$D$234/$D$231/VLOOKUP(C251,fnEquipLibRange,4,FALSE),0),F251)),""))</f>
        <v>100</v>
      </c>
      <c r="M251" s="103"/>
      <c r="N251" s="104">
        <f ca="1">IF($K251="","",IFERROR($K251*fnEquipCostCorr*fnEquipCostIndex*fnEquipConstMaterial,""))</f>
        <v>600138.12395364919</v>
      </c>
      <c r="O251" s="105">
        <f ca="1">IFERROR(fnEquipInstFactor*N251,"")</f>
        <v>840193.37353510887</v>
      </c>
      <c r="P251" s="106">
        <f ca="1">IFERROR(fnEquipLaborFactor*K251,"")</f>
        <v>0.60000000000000009</v>
      </c>
      <c r="Q251" s="19"/>
      <c r="S251" s="95" t="str">
        <f t="shared" si="4"/>
        <v>Muller mixer</v>
      </c>
      <c r="T251" s="11" t="str">
        <f ca="1">IFERROR(IF(INDEX(fnEquipLibRange,fnEquipRowNum,39)="","",INDEX(fnEquipLibRange,fnEquipRowNum,39)),"")</f>
        <v/>
      </c>
    </row>
    <row r="252" spans="2:20" outlineLevel="1">
      <c r="B252" s="16"/>
      <c r="C252" s="69" t="s">
        <v>761</v>
      </c>
      <c r="D252" s="70"/>
      <c r="E252" s="70" t="s">
        <v>340</v>
      </c>
      <c r="F252" s="70">
        <v>3</v>
      </c>
      <c r="G252" s="131">
        <v>2881.8</v>
      </c>
      <c r="H252" s="107" t="str">
        <f ca="1">IFERROR(VLOOKUP(C252,fnEquipLibRange,2,FALSE),"")</f>
        <v>evap rate kg/h</v>
      </c>
      <c r="I252" s="101" t="str">
        <f ca="1">IF(ISBLANK(G252),"",IF(G252&lt;VLOOKUP(C252,fnEquipLibRange,3,FALSE),"&gt;&gt;&gt; Too Small &lt;&lt;&lt;",IF(G252&gt;VLOOKUP(C252,fnEquipLibRange,4,FALSE),"&gt;&gt;&gt; Too Large &lt;&lt;&lt;","Yes")))</f>
        <v>Yes</v>
      </c>
      <c r="J252" s="101"/>
      <c r="K252" s="102">
        <f ca="1">IF(F252*G252=0,"",IFERROR(IF(F252*G252*$D$234/$D$231&lt;VLOOKUP(C252,fnEquipLibRange,3,FALSE),MAX(1,F252),MAX(ROUNDUP(F252*G252*$D$234/$D$231/VLOOKUP(C252,fnEquipLibRange,4,FALSE),0),F252)),""))</f>
        <v>3</v>
      </c>
      <c r="L252" s="103">
        <f ca="1">IF(F252*G252=0,"",IFERROR(IF(F252*G252*$D$234/$D$231&lt;VLOOKUP(C252,fnEquipLibRange,3,FALSE),VLOOKUP(C252,fnEquipLibRange,3,FALSE),F252*G252*$D$234/$D$231/MAX(ROUNDUP(F252*G252*$D$234/$D$231/VLOOKUP(C252,fnEquipLibRange,4,FALSE),0),F252)),""))</f>
        <v>2881.8000000000006</v>
      </c>
      <c r="M252" s="103"/>
      <c r="N252" s="104">
        <f ca="1">IF($K252="","",IFERROR($K252*fnEquipCostCorr*fnEquipCostIndex*fnEquipConstMaterial,""))</f>
        <v>3930958.0961027839</v>
      </c>
      <c r="O252" s="105">
        <f ca="1">IFERROR(fnEquipInstFactor*N252,"")</f>
        <v>6446771.2776085651</v>
      </c>
      <c r="P252" s="106">
        <f ca="1">IFERROR(fnEquipLaborFactor*K252,"")</f>
        <v>3</v>
      </c>
      <c r="Q252" s="19"/>
      <c r="S252" s="95" t="str">
        <f t="shared" si="4"/>
        <v>Dryer, spray (Sinnott)</v>
      </c>
      <c r="T252" s="11" t="str">
        <f ca="1">IFERROR(IF(INDEX(fnEquipLibRange,fnEquipRowNum,39)="","",INDEX(fnEquipLibRange,fnEquipRowNum,39)),"")</f>
        <v/>
      </c>
    </row>
    <row r="253" spans="2:20" outlineLevel="1">
      <c r="B253" s="16"/>
      <c r="C253" s="69" t="s">
        <v>278</v>
      </c>
      <c r="D253" s="70"/>
      <c r="E253" s="70" t="str">
        <f ca="1">IFERROR(VLOOKUP(C253,fnEquipLibRange,16,FALSE),"")</f>
        <v>Carbon steel</v>
      </c>
      <c r="F253" s="70">
        <v>1</v>
      </c>
      <c r="G253" s="131">
        <v>1.1399999999999999</v>
      </c>
      <c r="H253" s="107" t="str">
        <f ca="1">IFERROR(VLOOKUP(C253,fnEquipLibRange,2,FALSE),"")</f>
        <v>volume, m3</v>
      </c>
      <c r="I253" s="101" t="str">
        <f ca="1">IF(ISBLANK(G253),"",IF(G253&lt;VLOOKUP(C253,fnEquipLibRange,3,FALSE),"&gt;&gt;&gt; Too Small &lt;&lt;&lt;",IF(G253&gt;VLOOKUP(C253,fnEquipLibRange,4,FALSE),"&gt;&gt;&gt; Too Large &lt;&lt;&lt;","Yes")))</f>
        <v>Yes</v>
      </c>
      <c r="J253" s="101"/>
      <c r="K253" s="102">
        <f ca="1">IF(F253*G253=0,"",IFERROR(IF(F253*G253*$D$234/$D$231&lt;VLOOKUP(C253,fnEquipLibRange,3,FALSE),MAX(1,F253),MAX(ROUNDUP(F253*G253*$D$234/$D$231/VLOOKUP(C253,fnEquipLibRange,4,FALSE),0),F253)),""))</f>
        <v>1</v>
      </c>
      <c r="L253" s="103">
        <f ca="1">IF(F253*G253=0,"",IFERROR(IF(F253*G253*$D$234/$D$231&lt;VLOOKUP(C253,fnEquipLibRange,3,FALSE),VLOOKUP(C253,fnEquipLibRange,3,FALSE),F253*G253*$D$234/$D$231/MAX(ROUNDUP(F253*G253*$D$234/$D$231/VLOOKUP(C253,fnEquipLibRange,4,FALSE),0),F253)),""))</f>
        <v>1.1399999999999999</v>
      </c>
      <c r="M253" s="103"/>
      <c r="N253" s="104">
        <f ca="1">IF($K253="","",IFERROR($K253*fnEquipCostCorr*fnEquipCostIndex*fnEquipConstMaterial,""))</f>
        <v>76352.46480465107</v>
      </c>
      <c r="O253" s="105">
        <f ca="1">IFERROR(fnEquipInstFactor*N253,"")</f>
        <v>129799.19016790681</v>
      </c>
      <c r="P253" s="106">
        <f ca="1">IFERROR(fnEquipLaborFactor*K253,"")</f>
        <v>0.3</v>
      </c>
      <c r="Q253" s="19"/>
      <c r="S253" s="95" t="str">
        <f t="shared" si="4"/>
        <v>Reactor, jacketed, agitated</v>
      </c>
      <c r="T253" s="11" t="str">
        <f ca="1">IFERROR(IF(INDEX(fnEquipLibRange,fnEquipRowNum,39)="","",INDEX(fnEquipLibRange,fnEquipRowNum,39)),"")</f>
        <v/>
      </c>
    </row>
    <row r="254" spans="2:20" outlineLevel="1">
      <c r="B254" s="16"/>
      <c r="C254" s="69" t="s">
        <v>278</v>
      </c>
      <c r="D254" s="70"/>
      <c r="E254" s="70" t="str">
        <f ca="1">IFERROR(VLOOKUP(C254,fnEquipLibRange,16,FALSE),"")</f>
        <v>Carbon steel</v>
      </c>
      <c r="F254" s="70">
        <v>1</v>
      </c>
      <c r="G254" s="131">
        <v>30.28</v>
      </c>
      <c r="H254" s="107" t="str">
        <f ca="1">IFERROR(VLOOKUP(C254,fnEquipLibRange,2,FALSE),"")</f>
        <v>volume, m3</v>
      </c>
      <c r="I254" s="101" t="str">
        <f ca="1">IF(ISBLANK(G254),"",IF(G254&lt;VLOOKUP(C254,fnEquipLibRange,3,FALSE),"&gt;&gt;&gt; Too Small &lt;&lt;&lt;",IF(G254&gt;VLOOKUP(C254,fnEquipLibRange,4,FALSE),"&gt;&gt;&gt; Too Large &lt;&lt;&lt;","Yes")))</f>
        <v>Yes</v>
      </c>
      <c r="J254" s="101"/>
      <c r="K254" s="102">
        <f ca="1">IF(F254*G254=0,"",IFERROR(IF(F254*G254*$D$234/$D$231&lt;VLOOKUP(C254,fnEquipLibRange,3,FALSE),MAX(1,F254),MAX(ROUNDUP(F254*G254*$D$234/$D$231/VLOOKUP(C254,fnEquipLibRange,4,FALSE),0),F254)),""))</f>
        <v>1</v>
      </c>
      <c r="L254" s="103">
        <f ca="1">IF(F254*G254=0,"",IFERROR(IF(F254*G254*$D$234/$D$231&lt;VLOOKUP(C254,fnEquipLibRange,3,FALSE),VLOOKUP(C254,fnEquipLibRange,3,FALSE),F254*G254*$D$234/$D$231/MAX(ROUNDUP(F254*G254*$D$234/$D$231/VLOOKUP(C254,fnEquipLibRange,4,FALSE),0),F254)),""))</f>
        <v>30.28</v>
      </c>
      <c r="M254" s="103"/>
      <c r="N254" s="104">
        <f ca="1">IF($K254="","",IFERROR($K254*fnEquipCostCorr*fnEquipCostIndex*fnEquipConstMaterial,""))</f>
        <v>437356.26013160439</v>
      </c>
      <c r="O254" s="105">
        <f ca="1">IFERROR(fnEquipInstFactor*N254,"")</f>
        <v>743505.64222372742</v>
      </c>
      <c r="P254" s="106">
        <f ca="1">IFERROR(fnEquipLaborFactor*K254,"")</f>
        <v>0.3</v>
      </c>
      <c r="Q254" s="19"/>
      <c r="S254" s="95" t="str">
        <f t="shared" si="4"/>
        <v>Reactor, jacketed, agitated</v>
      </c>
      <c r="T254" s="11" t="str">
        <f ca="1">IFERROR(IF(INDEX(fnEquipLibRange,fnEquipRowNum,39)="","",INDEX(fnEquipLibRange,fnEquipRowNum,39)),"")</f>
        <v/>
      </c>
    </row>
    <row r="255" spans="2:20" outlineLevel="1">
      <c r="B255" s="16"/>
      <c r="C255" s="69" t="s">
        <v>552</v>
      </c>
      <c r="D255" s="70"/>
      <c r="E255" s="70" t="s">
        <v>1720</v>
      </c>
      <c r="F255" s="70">
        <v>1</v>
      </c>
      <c r="G255" s="131">
        <v>255</v>
      </c>
      <c r="H255" s="107" t="str">
        <f ca="1">IFERROR(VLOOKUP(C255,fnEquipLibRange,2,FALSE),"")</f>
        <v>Filtering area, ft2</v>
      </c>
      <c r="I255" s="101" t="str">
        <f ca="1">IF(ISBLANK(G255),"",IF(G255&lt;VLOOKUP(C255,fnEquipLibRange,3,FALSE),"&gt;&gt;&gt; Too Small &lt;&lt;&lt;",IF(G255&gt;VLOOKUP(C255,fnEquipLibRange,4,FALSE),"&gt;&gt;&gt; Too Large &lt;&lt;&lt;","Yes")))</f>
        <v>Yes</v>
      </c>
      <c r="J255" s="101"/>
      <c r="K255" s="102">
        <f ca="1">IF(F255*G255=0,"",IFERROR(IF(F255*G255*$D$234/$D$231&lt;VLOOKUP(C255,fnEquipLibRange,3,FALSE),MAX(1,F255),MAX(ROUNDUP(F255*G255*$D$234/$D$231/VLOOKUP(C255,fnEquipLibRange,4,FALSE),0),F255)),""))</f>
        <v>1</v>
      </c>
      <c r="L255" s="103">
        <f ca="1">IF(F255*G255=0,"",IFERROR(IF(F255*G255*$D$234/$D$231&lt;VLOOKUP(C255,fnEquipLibRange,3,FALSE),VLOOKUP(C255,fnEquipLibRange,3,FALSE),F255*G255*$D$234/$D$231/MAX(ROUNDUP(F255*G255*$D$234/$D$231/VLOOKUP(C255,fnEquipLibRange,4,FALSE),0),F255)),""))</f>
        <v>255</v>
      </c>
      <c r="M255" s="103"/>
      <c r="N255" s="104">
        <f ca="1">IF($K255="","",IFERROR($K255*fnEquipCostCorr*fnEquipCostIndex*fnEquipConstMaterial,""))</f>
        <v>302407.24356051895</v>
      </c>
      <c r="O255" s="105">
        <f ca="1">IFERROR(fnEquipInstFactor*N255,"")</f>
        <v>511068.24161727703</v>
      </c>
      <c r="P255" s="106">
        <f ca="1">IFERROR(fnEquipLaborFactor*K255,"")</f>
        <v>0.2</v>
      </c>
      <c r="Q255" s="19"/>
      <c r="S255" s="95" t="str">
        <f t="shared" si="4"/>
        <v>Filter, rotary-drum vacuum</v>
      </c>
      <c r="T255" s="11" t="str">
        <f ca="1">IFERROR(IF(INDEX(fnEquipLibRange,fnEquipRowNum,39)="","",INDEX(fnEquipLibRange,fnEquipRowNum,39)),"")</f>
        <v/>
      </c>
    </row>
    <row r="256" spans="2:20" outlineLevel="1">
      <c r="B256" s="16"/>
      <c r="C256" s="69" t="s">
        <v>278</v>
      </c>
      <c r="D256" s="70"/>
      <c r="E256" s="70" t="s">
        <v>1719</v>
      </c>
      <c r="F256" s="70">
        <v>1</v>
      </c>
      <c r="G256" s="131">
        <v>3.79</v>
      </c>
      <c r="H256" s="107" t="str">
        <f ca="1">IFERROR(VLOOKUP(C256,fnEquipLibRange,2,FALSE),"")</f>
        <v>volume, m3</v>
      </c>
      <c r="I256" s="101" t="str">
        <f ca="1">IF(ISBLANK(G256),"",IF(G256&lt;VLOOKUP(C256,fnEquipLibRange,3,FALSE),"&gt;&gt;&gt; Too Small &lt;&lt;&lt;",IF(G256&gt;VLOOKUP(C256,fnEquipLibRange,4,FALSE),"&gt;&gt;&gt; Too Large &lt;&lt;&lt;","Yes")))</f>
        <v>Yes</v>
      </c>
      <c r="J256" s="101"/>
      <c r="K256" s="102">
        <f ca="1">IF(F256*G256=0,"",IFERROR(IF(F256*G256*$D$234/$D$231&lt;VLOOKUP(C256,fnEquipLibRange,3,FALSE),MAX(1,F256),MAX(ROUNDUP(F256*G256*$D$234/$D$231/VLOOKUP(C256,fnEquipLibRange,4,FALSE),0),F256)),""))</f>
        <v>1</v>
      </c>
      <c r="L256" s="103">
        <f ca="1">IF(F256*G256=0,"",IFERROR(IF(F256*G256*$D$234/$D$231&lt;VLOOKUP(C256,fnEquipLibRange,3,FALSE),VLOOKUP(C256,fnEquipLibRange,3,FALSE),F256*G256*$D$234/$D$231/MAX(ROUNDUP(F256*G256*$D$234/$D$231/VLOOKUP(C256,fnEquipLibRange,4,FALSE),0),F256)),""))</f>
        <v>3.79</v>
      </c>
      <c r="M256" s="103"/>
      <c r="N256" s="104">
        <f ca="1">IF($K256="","",IFERROR($K256*fnEquipCostCorr*fnEquipCostIndex*fnEquipConstMaterial,""))</f>
        <v>158523.02570793274</v>
      </c>
      <c r="O256" s="105">
        <f ca="1">IFERROR(fnEquipInstFactor*N256,"")</f>
        <v>269489.14370348566</v>
      </c>
      <c r="P256" s="106">
        <f ca="1">IFERROR(fnEquipLaborFactor*K256,"")</f>
        <v>0.3</v>
      </c>
      <c r="Q256" s="19"/>
      <c r="S256" s="95" t="str">
        <f t="shared" si="4"/>
        <v>Reactor, jacketed, agitated</v>
      </c>
      <c r="T256" s="11" t="str">
        <f ca="1">IFERROR(IF(INDEX(fnEquipLibRange,fnEquipRowNum,39)="","",INDEX(fnEquipLibRange,fnEquipRowNum,39)),"")</f>
        <v/>
      </c>
    </row>
    <row r="257" spans="2:20" outlineLevel="1">
      <c r="B257" s="16"/>
      <c r="C257" s="69" t="s">
        <v>278</v>
      </c>
      <c r="D257" s="70"/>
      <c r="E257" s="70" t="s">
        <v>1719</v>
      </c>
      <c r="F257" s="70">
        <v>1</v>
      </c>
      <c r="G257" s="131">
        <v>30.28</v>
      </c>
      <c r="H257" s="107" t="str">
        <f ca="1">IFERROR(VLOOKUP(C257,fnEquipLibRange,2,FALSE),"")</f>
        <v>volume, m3</v>
      </c>
      <c r="I257" s="101" t="str">
        <f ca="1">IF(ISBLANK(G257),"",IF(G257&lt;VLOOKUP(C257,fnEquipLibRange,3,FALSE),"&gt;&gt;&gt; Too Small &lt;&lt;&lt;",IF(G257&gt;VLOOKUP(C257,fnEquipLibRange,4,FALSE),"&gt;&gt;&gt; Too Large &lt;&lt;&lt;","Yes")))</f>
        <v>Yes</v>
      </c>
      <c r="J257" s="101"/>
      <c r="K257" s="102">
        <f ca="1">IF(F257*G257=0,"",IFERROR(IF(F257*G257*$D$234/$D$231&lt;VLOOKUP(C257,fnEquipLibRange,3,FALSE),MAX(1,F257),MAX(ROUNDUP(F257*G257*$D$234/$D$231/VLOOKUP(C257,fnEquipLibRange,4,FALSE),0),F257)),""))</f>
        <v>1</v>
      </c>
      <c r="L257" s="103">
        <f ca="1">IF(F257*G257=0,"",IFERROR(IF(F257*G257*$D$234/$D$231&lt;VLOOKUP(C257,fnEquipLibRange,3,FALSE),VLOOKUP(C257,fnEquipLibRange,3,FALSE),F257*G257*$D$234/$D$231/MAX(ROUNDUP(F257*G257*$D$234/$D$231/VLOOKUP(C257,fnEquipLibRange,4,FALSE),0),F257)),""))</f>
        <v>30.28</v>
      </c>
      <c r="M257" s="103"/>
      <c r="N257" s="104">
        <f ca="1">IF($K257="","",IFERROR($K257*fnEquipCostCorr*fnEquipCostIndex*fnEquipConstMaterial,""))</f>
        <v>568563.13817108574</v>
      </c>
      <c r="O257" s="105">
        <f ca="1">IFERROR(fnEquipInstFactor*N257,"")</f>
        <v>966557.3348908457</v>
      </c>
      <c r="P257" s="106">
        <f ca="1">IFERROR(fnEquipLaborFactor*K257,"")</f>
        <v>0.3</v>
      </c>
      <c r="Q257" s="19"/>
      <c r="S257" s="95" t="str">
        <f t="shared" si="4"/>
        <v>Reactor, jacketed, agitated</v>
      </c>
      <c r="T257" s="11" t="str">
        <f ca="1">IFERROR(IF(INDEX(fnEquipLibRange,fnEquipRowNum,39)="","",INDEX(fnEquipLibRange,fnEquipRowNum,39)),"")</f>
        <v/>
      </c>
    </row>
    <row r="258" spans="2:20" outlineLevel="1">
      <c r="B258" s="16"/>
      <c r="C258" s="69" t="s">
        <v>552</v>
      </c>
      <c r="D258" s="70"/>
      <c r="E258" s="70" t="s">
        <v>1720</v>
      </c>
      <c r="F258" s="70">
        <v>1</v>
      </c>
      <c r="G258" s="131">
        <v>255</v>
      </c>
      <c r="H258" s="107" t="str">
        <f ca="1">IFERROR(VLOOKUP(C258,fnEquipLibRange,2,FALSE),"")</f>
        <v>Filtering area, ft2</v>
      </c>
      <c r="I258" s="101" t="str">
        <f ca="1">IF(ISBLANK(G258),"",IF(G258&lt;VLOOKUP(C258,fnEquipLibRange,3,FALSE),"&gt;&gt;&gt; Too Small &lt;&lt;&lt;",IF(G258&gt;VLOOKUP(C258,fnEquipLibRange,4,FALSE),"&gt;&gt;&gt; Too Large &lt;&lt;&lt;","Yes")))</f>
        <v>Yes</v>
      </c>
      <c r="J258" s="101"/>
      <c r="K258" s="102">
        <f ca="1">IF(F258*G258=0,"",IFERROR(IF(F258*G258*$D$234/$D$231&lt;VLOOKUP(C258,fnEquipLibRange,3,FALSE),MAX(1,F258),MAX(ROUNDUP(F258*G258*$D$234/$D$231/VLOOKUP(C258,fnEquipLibRange,4,FALSE),0),F258)),""))</f>
        <v>1</v>
      </c>
      <c r="L258" s="103">
        <f ca="1">IF(F258*G258=0,"",IFERROR(IF(F258*G258*$D$234/$D$231&lt;VLOOKUP(C258,fnEquipLibRange,3,FALSE),VLOOKUP(C258,fnEquipLibRange,3,FALSE),F258*G258*$D$234/$D$231/MAX(ROUNDUP(F258*G258*$D$234/$D$231/VLOOKUP(C258,fnEquipLibRange,4,FALSE),0),F258)),""))</f>
        <v>255</v>
      </c>
      <c r="M258" s="103"/>
      <c r="N258" s="104">
        <f ca="1">IF($K258="","",IFERROR($K258*fnEquipCostCorr*fnEquipCostIndex*fnEquipConstMaterial,""))</f>
        <v>302407.24356051895</v>
      </c>
      <c r="O258" s="105">
        <f ca="1">IFERROR(fnEquipInstFactor*N258,"")</f>
        <v>511068.24161727703</v>
      </c>
      <c r="P258" s="106">
        <f ca="1">IFERROR(fnEquipLaborFactor*K258,"")</f>
        <v>0.2</v>
      </c>
      <c r="Q258" s="19"/>
      <c r="S258" s="95" t="str">
        <f t="shared" si="4"/>
        <v>Filter, rotary-drum vacuum</v>
      </c>
      <c r="T258" s="11" t="str">
        <f ca="1">IFERROR(IF(INDEX(fnEquipLibRange,fnEquipRowNum,39)="","",INDEX(fnEquipLibRange,fnEquipRowNum,39)),"")</f>
        <v/>
      </c>
    </row>
    <row r="259" spans="2:20" outlineLevel="1">
      <c r="B259" s="16"/>
      <c r="C259" s="69" t="s">
        <v>1115</v>
      </c>
      <c r="D259" s="70"/>
      <c r="E259" s="70" t="str">
        <f ca="1">IFERROR(VLOOKUP(C259,fnEquipLibRange,16,FALSE),"")</f>
        <v>Carbon steel</v>
      </c>
      <c r="F259" s="70">
        <v>2</v>
      </c>
      <c r="G259" s="131">
        <v>1161.7</v>
      </c>
      <c r="H259" s="107" t="str">
        <f ca="1">IFERROR(VLOOKUP(C259,fnEquipLibRange,2,FALSE),"")</f>
        <v>Free tube surface area, m2</v>
      </c>
      <c r="I259" s="101" t="str">
        <f ca="1">IF(ISBLANK(G259),"",IF(G259&lt;VLOOKUP(C259,fnEquipLibRange,3,FALSE),"&gt;&gt;&gt; Too Small &lt;&lt;&lt;",IF(G259&gt;VLOOKUP(C259,fnEquipLibRange,4,FALSE),"&gt;&gt;&gt; Too Large &lt;&lt;&lt;","Yes")))</f>
        <v>Yes</v>
      </c>
      <c r="J259" s="101"/>
      <c r="K259" s="102">
        <f ca="1">IF(F259*G259=0,"",IFERROR(IF(F259*G259*$D$234/$D$231&lt;VLOOKUP(C259,fnEquipLibRange,3,FALSE),MAX(1,F259),MAX(ROUNDUP(F259*G259*$D$234/$D$231/VLOOKUP(C259,fnEquipLibRange,4,FALSE),0),F259)),""))</f>
        <v>2</v>
      </c>
      <c r="L259" s="103">
        <f ca="1">IF(F259*G259=0,"",IFERROR(IF(F259*G259*$D$234/$D$231&lt;VLOOKUP(C259,fnEquipLibRange,3,FALSE),VLOOKUP(C259,fnEquipLibRange,3,FALSE),F259*G259*$D$234/$D$231/MAX(ROUNDUP(F259*G259*$D$234/$D$231/VLOOKUP(C259,fnEquipLibRange,4,FALSE),0),F259)),""))</f>
        <v>1161.7</v>
      </c>
      <c r="M259" s="103"/>
      <c r="N259" s="104">
        <f ca="1">IF($K259="","",IFERROR($K259*fnEquipCostCorr*fnEquipCostIndex*fnEquipConstMaterial,""))</f>
        <v>3674202.268381177</v>
      </c>
      <c r="O259" s="105">
        <f ca="1">IFERROR(fnEquipInstFactor*N259,"")</f>
        <v>6025691.7201451296</v>
      </c>
      <c r="P259" s="106">
        <f ca="1">IFERROR(fnEquipLaborFactor*K259,"")</f>
        <v>1</v>
      </c>
      <c r="Q259" s="19"/>
      <c r="S259" s="95" t="str">
        <f t="shared" si="4"/>
        <v>Dryer, steam-tube 2.4 m diameter, 350-1200 m2  (Perry's)</v>
      </c>
      <c r="T259" s="11" t="str">
        <f ca="1">IFERROR(IF(INDEX(fnEquipLibRange,fnEquipRowNum,39)="","",INDEX(fnEquipLibRange,fnEquipRowNum,39)),"")</f>
        <v>Overall diameter 2.438 m, containing 90 tubes of 114 mm diameter. Information from Swenson Process Equipment as reproduced in Perry's 8th ed. Scaling is done by increasing length (e.g.for diameter = 0.965 m and length = 4.572 m, tube surface area = 21.4 m2, while for diameter = 0.965 m and length = 9.144 m, tube surface area = 44.6 m2). Values above 800 m2 exceed the range provided by Swenson, assuming length can be extended to ~37 m, and should be considered tentative. Override the upper limit, if desired, by setting "S upper" in the Equipment Library to 800. This will restrict available sizes to those provided by Swenson.</v>
      </c>
    </row>
    <row r="260" spans="2:20" outlineLevel="1">
      <c r="B260" s="16"/>
      <c r="C260" s="69" t="s">
        <v>285</v>
      </c>
      <c r="D260" s="70" t="s">
        <v>1857</v>
      </c>
      <c r="E260" s="70" t="str">
        <f ca="1">IFERROR(VLOOKUP(C260,fnEquipLibRange,16,FALSE),"")</f>
        <v>Carbon steel</v>
      </c>
      <c r="F260" s="70">
        <v>2</v>
      </c>
      <c r="G260" s="131">
        <v>1577</v>
      </c>
      <c r="H260" s="107" t="str">
        <f ca="1">IFERROR(VLOOKUP(C260,fnEquipLibRange,2,FALSE),"")</f>
        <v>flow, L/s</v>
      </c>
      <c r="I260" s="101" t="str">
        <f ca="1">IF(ISBLANK(G260),"",IF(G260&lt;VLOOKUP(C260,fnEquipLibRange,3,FALSE),"&gt;&gt;&gt; Too Small &lt;&lt;&lt;",IF(G260&gt;VLOOKUP(C260,fnEquipLibRange,4,FALSE),"&gt;&gt;&gt; Too Large &lt;&lt;&lt;","Yes")))</f>
        <v>Yes</v>
      </c>
      <c r="J260" s="101"/>
      <c r="K260" s="102">
        <f ca="1">IF(F260*G260=0,"",IFERROR(IF(F260*G260*$D$234/$D$231&lt;VLOOKUP(C260,fnEquipLibRange,3,FALSE),MAX(1,F260),MAX(ROUNDUP(F260*G260*$D$234/$D$231/VLOOKUP(C260,fnEquipLibRange,4,FALSE),0),F260)),""))</f>
        <v>2</v>
      </c>
      <c r="L260" s="103">
        <f ca="1">IF(F260*G260=0,"",IFERROR(IF(F260*G260*$D$234/$D$231&lt;VLOOKUP(C260,fnEquipLibRange,3,FALSE),VLOOKUP(C260,fnEquipLibRange,3,FALSE),F260*G260*$D$234/$D$231/MAX(ROUNDUP(F260*G260*$D$234/$D$231/VLOOKUP(C260,fnEquipLibRange,4,FALSE),0),F260)),""))</f>
        <v>1577</v>
      </c>
      <c r="M260" s="103"/>
      <c r="N260" s="104">
        <f ca="1">IF($K260="","",IFERROR($K260*fnEquipCostCorr*fnEquipCostIndex*fnEquipConstMaterial,""))</f>
        <v>2650022.800668865</v>
      </c>
      <c r="O260" s="105">
        <f ca="1">IFERROR(fnEquipInstFactor*N260,"")</f>
        <v>3180027.3608026379</v>
      </c>
      <c r="P260" s="106">
        <f ca="1">IFERROR(fnEquipLaborFactor*K260,"")</f>
        <v>1.2</v>
      </c>
      <c r="Q260" s="19"/>
      <c r="S260" s="95" t="str">
        <f t="shared" si="4"/>
        <v>Cooling tower w/ pumps, field assembled</v>
      </c>
      <c r="T260" s="11" t="str">
        <f ca="1">IFERROR(IF(INDEX(fnEquipLibRange,fnEquipRowNum,39)="","",INDEX(fnEquipLibRange,fnEquipRowNum,39)),"")</f>
        <v/>
      </c>
    </row>
    <row r="261" spans="2:20" outlineLevel="1">
      <c r="B261" s="16"/>
      <c r="C261" s="69" t="s">
        <v>274</v>
      </c>
      <c r="D261" s="70" t="s">
        <v>1860</v>
      </c>
      <c r="E261" s="70" t="str">
        <f ca="1">IFERROR(VLOOKUP(C261,fnEquipLibRange,16,FALSE),"")</f>
        <v>Carbon steel</v>
      </c>
      <c r="F261" s="70">
        <v>60</v>
      </c>
      <c r="G261" s="131">
        <v>25</v>
      </c>
      <c r="H261" s="107" t="str">
        <f ca="1">IFERROR(VLOOKUP(C261,fnEquipLibRange,2,FALSE),"")</f>
        <v>flow, L/s</v>
      </c>
      <c r="I261" s="101" t="str">
        <f ca="1">IF(ISBLANK(G261),"",IF(G261&lt;VLOOKUP(C261,fnEquipLibRange,3,FALSE),"&gt;&gt;&gt; Too Small &lt;&lt;&lt;",IF(G261&gt;VLOOKUP(C261,fnEquipLibRange,4,FALSE),"&gt;&gt;&gt; Too Large &lt;&lt;&lt;","Yes")))</f>
        <v>Yes</v>
      </c>
      <c r="J261" s="101"/>
      <c r="K261" s="102">
        <f ca="1">IF(F261*G261=0,"",IFERROR(IF(F261*G261*$D$234/$D$231&lt;VLOOKUP(C261,fnEquipLibRange,3,FALSE),MAX(1,F261),MAX(ROUNDUP(F261*G261*$D$234/$D$231/VLOOKUP(C261,fnEquipLibRange,4,FALSE),0),F261)),""))</f>
        <v>60</v>
      </c>
      <c r="L261" s="103">
        <f ca="1">IF(F261*G261=0,"",IFERROR(IF(F261*G261*$D$234/$D$231&lt;VLOOKUP(C261,fnEquipLibRange,3,FALSE),VLOOKUP(C261,fnEquipLibRange,3,FALSE),F261*G261*$D$234/$D$231/MAX(ROUNDUP(F261*G261*$D$234/$D$231/VLOOKUP(C261,fnEquipLibRange,4,FALSE),0),F261)),""))</f>
        <v>25.000000000000004</v>
      </c>
      <c r="M261" s="103"/>
      <c r="N261" s="104">
        <f ca="1">IF($K261="","",IFERROR($K261*fnEquipCostCorr*fnEquipCostIndex*fnEquipConstMaterial,""))</f>
        <v>753572.91795232135</v>
      </c>
      <c r="O261" s="105">
        <f ca="1">IFERROR(fnEquipInstFactor*N261,"")</f>
        <v>979644.79333801777</v>
      </c>
      <c r="P261" s="106">
        <f ca="1">IFERROR(fnEquipLaborFactor*K261,"")</f>
        <v>0</v>
      </c>
      <c r="Q261" s="19"/>
      <c r="S261" s="95" t="str">
        <f t="shared" si="4"/>
        <v>Pump, single stage centrifugal</v>
      </c>
      <c r="T261" s="11" t="str">
        <f ca="1">IFERROR(IF(INDEX(fnEquipLibRange,fnEquipRowNum,39)="","",INDEX(fnEquipLibRange,fnEquipRowNum,39)),"")</f>
        <v/>
      </c>
    </row>
    <row r="262" spans="2:20" outlineLevel="1">
      <c r="B262" s="16"/>
      <c r="C262" s="69" t="s">
        <v>646</v>
      </c>
      <c r="D262" s="70" t="s">
        <v>1860</v>
      </c>
      <c r="E262" s="70" t="str">
        <f ca="1">IFERROR(VLOOKUP(C262,fnEquipLibRange,16,FALSE),"")</f>
        <v>Aluminum</v>
      </c>
      <c r="F262" s="70">
        <v>35</v>
      </c>
      <c r="G262" s="131">
        <v>525</v>
      </c>
      <c r="H262" s="107" t="str">
        <f ca="1">IFERROR(VLOOKUP(C262,fnEquipLibRange,2,FALSE),"")</f>
        <v>Brake horsepower</v>
      </c>
      <c r="I262" s="101" t="str">
        <f ca="1">IF(ISBLANK(G262),"",IF(G262&lt;VLOOKUP(C262,fnEquipLibRange,3,FALSE),"&gt;&gt;&gt; Too Small &lt;&lt;&lt;",IF(G262&gt;VLOOKUP(C262,fnEquipLibRange,4,FALSE),"&gt;&gt;&gt; Too Large &lt;&lt;&lt;","Yes")))</f>
        <v>Yes</v>
      </c>
      <c r="J262" s="101"/>
      <c r="K262" s="102">
        <f ca="1">IF(F262*G262=0,"",IFERROR(IF(F262*G262*$D$234/$D$231&lt;VLOOKUP(C262,fnEquipLibRange,3,FALSE),MAX(1,F262),MAX(ROUNDUP(F262*G262*$D$234/$D$231/VLOOKUP(C262,fnEquipLibRange,4,FALSE),0),F262)),""))</f>
        <v>35</v>
      </c>
      <c r="L262" s="103">
        <f ca="1">IF(F262*G262=0,"",IFERROR(IF(F262*G262*$D$234/$D$231&lt;VLOOKUP(C262,fnEquipLibRange,3,FALSE),VLOOKUP(C262,fnEquipLibRange,3,FALSE),F262*G262*$D$234/$D$231/MAX(ROUNDUP(F262*G262*$D$234/$D$231/VLOOKUP(C262,fnEquipLibRange,4,FALSE),0),F262)),""))</f>
        <v>525</v>
      </c>
      <c r="M262" s="103"/>
      <c r="N262" s="104">
        <f ca="1">IF($K262="","",IFERROR($K262*fnEquipCostCorr*fnEquipCostIndex*fnEquipConstMaterial,""))</f>
        <v>3160414.5475189704</v>
      </c>
      <c r="O262" s="105">
        <f ca="1">IFERROR(fnEquipInstFactor*N262,"")</f>
        <v>4709017.6758032655</v>
      </c>
      <c r="P262" s="106">
        <f ca="1">IFERROR(fnEquipLaborFactor*K262,"")</f>
        <v>3.5</v>
      </c>
      <c r="Q262" s="19"/>
      <c r="S262" s="95" t="str">
        <f t="shared" si="4"/>
        <v>Blower, centrifugal (turbo)</v>
      </c>
      <c r="T262" s="11" t="str">
        <f ca="1">IFERROR(IF(INDEX(fnEquipLibRange,fnEquipRowNum,39)="","",INDEX(fnEquipLibRange,fnEquipRowNum,39)),"")</f>
        <v>Includes drive and electric motor; cast iron housing; a "blower" may operate at any suction pressure and applies to compression ratios of up to 2</v>
      </c>
    </row>
    <row r="263" spans="2:20" outlineLevel="1">
      <c r="B263" s="16"/>
      <c r="C263" s="69" t="s">
        <v>640</v>
      </c>
      <c r="D263" s="70" t="s">
        <v>1860</v>
      </c>
      <c r="E263" s="70" t="str">
        <f ca="1">IFERROR(VLOOKUP(C263,fnEquipLibRange,16,FALSE),"")</f>
        <v>Carbon steel</v>
      </c>
      <c r="F263" s="70">
        <v>15</v>
      </c>
      <c r="G263" s="131">
        <v>40000</v>
      </c>
      <c r="H263" s="107" t="str">
        <f ca="1">IFERROR(VLOOKUP(C263,fnEquipLibRange,2,FALSE),"")</f>
        <v>Actual cubic feet per minute (ACFM)</v>
      </c>
      <c r="I263" s="101" t="str">
        <f ca="1">IF(ISBLANK(G263),"",IF(G263&lt;VLOOKUP(C263,fnEquipLibRange,3,FALSE),"&gt;&gt;&gt; Too Small &lt;&lt;&lt;",IF(G263&gt;VLOOKUP(C263,fnEquipLibRange,4,FALSE),"&gt;&gt;&gt; Too Large &lt;&lt;&lt;","Yes")))</f>
        <v>Yes</v>
      </c>
      <c r="J263" s="101"/>
      <c r="K263" s="102">
        <f ca="1">IF(F263*G263=0,"",IFERROR(IF(F263*G263*$D$234/$D$231&lt;VLOOKUP(C263,fnEquipLibRange,3,FALSE),MAX(1,F263),MAX(ROUNDUP(F263*G263*$D$234/$D$231/VLOOKUP(C263,fnEquipLibRange,4,FALSE),0),F263)),""))</f>
        <v>15</v>
      </c>
      <c r="L263" s="103">
        <f ca="1">IF(F263*G263=0,"",IFERROR(IF(F263*G263*$D$234/$D$231&lt;VLOOKUP(C263,fnEquipLibRange,3,FALSE),VLOOKUP(C263,fnEquipLibRange,3,FALSE),F263*G263*$D$234/$D$231/MAX(ROUNDUP(F263*G263*$D$234/$D$231/VLOOKUP(C263,fnEquipLibRange,4,FALSE),0),F263)),""))</f>
        <v>40000</v>
      </c>
      <c r="M263" s="103"/>
      <c r="N263" s="104">
        <f ca="1">IF($K263="","",IFERROR($K263*fnEquipCostCorr*fnEquipCostIndex*fnEquipConstMaterial,""))</f>
        <v>206732.69246656599</v>
      </c>
      <c r="O263" s="105">
        <f ca="1">IFERROR(fnEquipInstFactor*N263,"")</f>
        <v>332839.63487117126</v>
      </c>
      <c r="P263" s="106">
        <f ca="1">IFERROR(fnEquipLaborFactor*K263,"")</f>
        <v>0.75</v>
      </c>
      <c r="Q263" s="19"/>
      <c r="S263" s="95" t="str">
        <f t="shared" si="4"/>
        <v>Fan, centrifugal backward-curved, 0–4 in H2O head</v>
      </c>
      <c r="T263" s="11" t="str">
        <f ca="1">IFERROR(IF(INDEX(fnEquipLibRange,fnEquipRowNum,39)="","",INDEX(fnEquipLibRange,fnEquipRowNum,39)),"")</f>
        <v>Includes drive and electric motor; a "fan" applies to near-ambient suction pressures and less than 10% pressure increases</v>
      </c>
    </row>
    <row r="264" spans="2:20" outlineLevel="1">
      <c r="B264" s="16"/>
      <c r="C264" s="69" t="s">
        <v>766</v>
      </c>
      <c r="D264" s="70" t="s">
        <v>1861</v>
      </c>
      <c r="E264" s="70" t="str">
        <f ca="1">IFERROR(VLOOKUP(C264,fnEquipLibRange,16,FALSE),"")</f>
        <v>Carbon steel</v>
      </c>
      <c r="F264" s="70">
        <v>20</v>
      </c>
      <c r="G264" s="131">
        <v>5500</v>
      </c>
      <c r="H264" s="107" t="str">
        <f ca="1">IFERROR(VLOOKUP(C264,fnEquipLibRange,2,FALSE),"")</f>
        <v>Volume, gal</v>
      </c>
      <c r="I264" s="101" t="str">
        <f ca="1">IF(ISBLANK(G264),"",IF(G264&lt;VLOOKUP(C264,fnEquipLibRange,3,FALSE),"&gt;&gt;&gt; Too Small &lt;&lt;&lt;",IF(G264&gt;VLOOKUP(C264,fnEquipLibRange,4,FALSE),"&gt;&gt;&gt; Too Large &lt;&lt;&lt;","Yes")))</f>
        <v>Yes</v>
      </c>
      <c r="J264" s="101"/>
      <c r="K264" s="102">
        <f ca="1">IF(F264*G264=0,"",IFERROR(IF(F264*G264*$D$234/$D$231&lt;VLOOKUP(C264,fnEquipLibRange,3,FALSE),MAX(1,F264),MAX(ROUNDUP(F264*G264*$D$234/$D$231/VLOOKUP(C264,fnEquipLibRange,4,FALSE),0),F264)),""))</f>
        <v>20</v>
      </c>
      <c r="L264" s="103">
        <f ca="1">IF(F264*G264=0,"",IFERROR(IF(F264*G264*$D$234/$D$231&lt;VLOOKUP(C264,fnEquipLibRange,3,FALSE),VLOOKUP(C264,fnEquipLibRange,3,FALSE),F264*G264*$D$234/$D$231/MAX(ROUNDUP(F264*G264*$D$234/$D$231/VLOOKUP(C264,fnEquipLibRange,4,FALSE),0),F264)),""))</f>
        <v>5500</v>
      </c>
      <c r="M264" s="103"/>
      <c r="N264" s="104">
        <f ca="1">IF($K264="","",IFERROR($K264*fnEquipCostCorr*fnEquipCostIndex*fnEquipConstMaterial,""))</f>
        <v>420240.7442710867</v>
      </c>
      <c r="O264" s="105">
        <f ca="1">IFERROR(fnEquipInstFactor*N264,"")</f>
        <v>790052.599229643</v>
      </c>
      <c r="P264" s="106">
        <f ca="1">IFERROR(fnEquipLaborFactor*K264,"")</f>
        <v>0</v>
      </c>
      <c r="Q264" s="19"/>
      <c r="S264" s="95" t="str">
        <f t="shared" si="4"/>
        <v>Tank, cone roof (Seider)</v>
      </c>
      <c r="T264" s="11" t="str">
        <f ca="1">IFERROR(IF(INDEX(fnEquipLibRange,fnEquipRowNum,39)="","",INDEX(fnEquipLibRange,fnEquipRowNum,39)),"")</f>
        <v>Carbon steel, pressure up to 3 psig</v>
      </c>
    </row>
    <row r="265" spans="2:20" outlineLevel="1">
      <c r="B265" s="16"/>
      <c r="C265" s="69" t="s">
        <v>766</v>
      </c>
      <c r="D265" s="70" t="s">
        <v>1861</v>
      </c>
      <c r="E265" s="70" t="str">
        <f ca="1">IFERROR(VLOOKUP(C265,fnEquipLibRange,16,FALSE),"")</f>
        <v>Carbon steel</v>
      </c>
      <c r="F265" s="70">
        <v>15</v>
      </c>
      <c r="G265" s="131">
        <v>200000</v>
      </c>
      <c r="H265" s="107" t="str">
        <f ca="1">IFERROR(VLOOKUP(C265,fnEquipLibRange,2,FALSE),"")</f>
        <v>Volume, gal</v>
      </c>
      <c r="I265" s="101" t="str">
        <f ca="1">IF(ISBLANK(G265),"",IF(G265&lt;VLOOKUP(C265,fnEquipLibRange,3,FALSE),"&gt;&gt;&gt; Too Small &lt;&lt;&lt;",IF(G265&gt;VLOOKUP(C265,fnEquipLibRange,4,FALSE),"&gt;&gt;&gt; Too Large &lt;&lt;&lt;","Yes")))</f>
        <v>Yes</v>
      </c>
      <c r="J265" s="101"/>
      <c r="K265" s="102">
        <f ca="1">IF(F265*G265=0,"",IFERROR(IF(F265*G265*$D$234/$D$231&lt;VLOOKUP(C265,fnEquipLibRange,3,FALSE),MAX(1,F265),MAX(ROUNDUP(F265*G265*$D$234/$D$231/VLOOKUP(C265,fnEquipLibRange,4,FALSE),0),F265)),""))</f>
        <v>15</v>
      </c>
      <c r="L265" s="103">
        <f ca="1">IF(F265*G265=0,"",IFERROR(IF(F265*G265*$D$234/$D$231&lt;VLOOKUP(C265,fnEquipLibRange,3,FALSE),VLOOKUP(C265,fnEquipLibRange,3,FALSE),F265*G265*$D$234/$D$231/MAX(ROUNDUP(F265*G265*$D$234/$D$231/VLOOKUP(C265,fnEquipLibRange,4,FALSE),0),F265)),""))</f>
        <v>200000</v>
      </c>
      <c r="M265" s="103"/>
      <c r="N265" s="104">
        <f ca="1">IF($K265="","",IFERROR($K265*fnEquipCostCorr*fnEquipCostIndex*fnEquipConstMaterial,""))</f>
        <v>1991506.5925798477</v>
      </c>
      <c r="O265" s="105">
        <f ca="1">IFERROR(fnEquipInstFactor*N265,"")</f>
        <v>3744032.3940501134</v>
      </c>
      <c r="P265" s="106">
        <f ca="1">IFERROR(fnEquipLaborFactor*K265,"")</f>
        <v>0</v>
      </c>
      <c r="Q265" s="19"/>
      <c r="S265" s="95" t="str">
        <f t="shared" si="4"/>
        <v>Tank, cone roof (Seider)</v>
      </c>
      <c r="T265" s="11" t="str">
        <f ca="1">IFERROR(IF(INDEX(fnEquipLibRange,fnEquipRowNum,39)="","",INDEX(fnEquipLibRange,fnEquipRowNum,39)),"")</f>
        <v>Carbon steel, pressure up to 3 psig</v>
      </c>
    </row>
    <row r="266" spans="2:20" outlineLevel="1">
      <c r="B266" s="16"/>
      <c r="C266" s="69"/>
      <c r="D266" s="70"/>
      <c r="E266" s="70" t="str">
        <f ca="1">IFERROR(VLOOKUP(C266,fnEquipLibRange,16,FALSE),"")</f>
        <v/>
      </c>
      <c r="F266" s="70"/>
      <c r="G266" s="131"/>
      <c r="H266" s="107" t="str">
        <f ca="1">IFERROR(VLOOKUP(C266,fnEquipLibRange,2,FALSE),"")</f>
        <v/>
      </c>
      <c r="I266" s="101" t="str">
        <f>IF(ISBLANK(G266),"",IF(G266&lt;VLOOKUP(C266,fnEquipLibRange,3,FALSE),"&gt;&gt;&gt; Too Small &lt;&lt;&lt;",IF(G266&gt;VLOOKUP(C266,fnEquipLibRange,4,FALSE),"&gt;&gt;&gt; Too Large &lt;&lt;&lt;","Yes")))</f>
        <v/>
      </c>
      <c r="J266" s="101"/>
      <c r="K266" s="102" t="str">
        <f>IF(F266*G266=0,"",IFERROR(IF(F266*G266*$D$234/$D$231&lt;VLOOKUP(C266,fnEquipLibRange,3,FALSE),MAX(1,F266),MAX(ROUNDUP(F266*G266*$D$234/$D$231/VLOOKUP(C266,fnEquipLibRange,4,FALSE),0),F266)),""))</f>
        <v/>
      </c>
      <c r="L266" s="103" t="str">
        <f>IF(F266*G266=0,"",IFERROR(IF(F266*G266*$D$234/$D$231&lt;VLOOKUP(C266,fnEquipLibRange,3,FALSE),VLOOKUP(C266,fnEquipLibRange,3,FALSE),F266*G266*$D$234/$D$231/MAX(ROUNDUP(F266*G266*$D$234/$D$231/VLOOKUP(C266,fnEquipLibRange,4,FALSE),0),F266)),""))</f>
        <v/>
      </c>
      <c r="M266" s="103"/>
      <c r="N266" s="104" t="str">
        <f>IF($K266="","",IFERROR($K266*fnEquipCostCorr*fnEquipCostIndex*fnEquipConstMaterial,""))</f>
        <v/>
      </c>
      <c r="O266" s="105" t="str">
        <f ca="1">IFERROR(fnEquipInstFactor*N266,"")</f>
        <v/>
      </c>
      <c r="P266" s="106" t="str">
        <f ca="1">IFERROR(fnEquipLaborFactor*K266,"")</f>
        <v/>
      </c>
      <c r="Q266" s="19"/>
      <c r="S266" s="95" t="str">
        <f t="shared" si="4"/>
        <v/>
      </c>
      <c r="T266" s="11" t="str">
        <f ca="1">IFERROR(IF(INDEX(fnEquipLibRange,fnEquipRowNum,39)="","",INDEX(fnEquipLibRange,fnEquipRowNum,39)),"")</f>
        <v/>
      </c>
    </row>
    <row r="267" spans="2:20" outlineLevel="1">
      <c r="B267" s="16"/>
      <c r="C267" s="69"/>
      <c r="D267" s="70"/>
      <c r="E267" s="70" t="str">
        <f ca="1">IFERROR(VLOOKUP(C267,fnEquipLibRange,16,FALSE),"")</f>
        <v/>
      </c>
      <c r="F267" s="70"/>
      <c r="G267" s="131"/>
      <c r="H267" s="107" t="str">
        <f ca="1">IFERROR(VLOOKUP(C267,fnEquipLibRange,2,FALSE),"")</f>
        <v/>
      </c>
      <c r="I267" s="101" t="str">
        <f>IF(ISBLANK(G267),"",IF(G267&lt;VLOOKUP(C267,fnEquipLibRange,3,FALSE),"&gt;&gt;&gt; Too Small &lt;&lt;&lt;",IF(G267&gt;VLOOKUP(C267,fnEquipLibRange,4,FALSE),"&gt;&gt;&gt; Too Large &lt;&lt;&lt;","Yes")))</f>
        <v/>
      </c>
      <c r="J267" s="101"/>
      <c r="K267" s="102" t="str">
        <f>IF(F267*G267=0,"",IFERROR(IF(F267*G267*$D$234/$D$231&lt;VLOOKUP(C267,fnEquipLibRange,3,FALSE),MAX(1,F267),MAX(ROUNDUP(F267*G267*$D$234/$D$231/VLOOKUP(C267,fnEquipLibRange,4,FALSE),0),F267)),""))</f>
        <v/>
      </c>
      <c r="L267" s="103" t="str">
        <f>IF(F267*G267=0,"",IFERROR(IF(F267*G267*$D$234/$D$231&lt;VLOOKUP(C267,fnEquipLibRange,3,FALSE),VLOOKUP(C267,fnEquipLibRange,3,FALSE),F267*G267*$D$234/$D$231/MAX(ROUNDUP(F267*G267*$D$234/$D$231/VLOOKUP(C267,fnEquipLibRange,4,FALSE),0),F267)),""))</f>
        <v/>
      </c>
      <c r="M267" s="103"/>
      <c r="N267" s="104" t="str">
        <f>IF($K267="","",IFERROR($K267*fnEquipCostCorr*fnEquipCostIndex*fnEquipConstMaterial,""))</f>
        <v/>
      </c>
      <c r="O267" s="105" t="str">
        <f ca="1">IFERROR(fnEquipInstFactor*N267,"")</f>
        <v/>
      </c>
      <c r="P267" s="106" t="str">
        <f ca="1">IFERROR(fnEquipLaborFactor*K267,"")</f>
        <v/>
      </c>
      <c r="Q267" s="19"/>
      <c r="S267" s="95" t="str">
        <f t="shared" si="4"/>
        <v/>
      </c>
      <c r="T267" s="11" t="str">
        <f ca="1">IFERROR(IF(INDEX(fnEquipLibRange,fnEquipRowNum,39)="","",INDEX(fnEquipLibRange,fnEquipRowNum,39)),"")</f>
        <v/>
      </c>
    </row>
    <row r="268" spans="2:20" outlineLevel="1">
      <c r="B268" s="16"/>
      <c r="C268" s="69"/>
      <c r="D268" s="70"/>
      <c r="E268" s="70" t="str">
        <f ca="1">IFERROR(VLOOKUP(C268,fnEquipLibRange,16,FALSE),"")</f>
        <v/>
      </c>
      <c r="F268" s="70"/>
      <c r="G268" s="131"/>
      <c r="H268" s="107" t="str">
        <f ca="1">IFERROR(VLOOKUP(C268,fnEquipLibRange,2,FALSE),"")</f>
        <v/>
      </c>
      <c r="I268" s="101" t="str">
        <f>IF(ISBLANK(G268),"",IF(G268&lt;VLOOKUP(C268,fnEquipLibRange,3,FALSE),"&gt;&gt;&gt; Too Small &lt;&lt;&lt;",IF(G268&gt;VLOOKUP(C268,fnEquipLibRange,4,FALSE),"&gt;&gt;&gt; Too Large &lt;&lt;&lt;","Yes")))</f>
        <v/>
      </c>
      <c r="J268" s="101"/>
      <c r="K268" s="102" t="str">
        <f>IF(F268*G268=0,"",IFERROR(IF(F268*G268*$D$234/$D$231&lt;VLOOKUP(C268,fnEquipLibRange,3,FALSE),MAX(1,F268),MAX(ROUNDUP(F268*G268*$D$234/$D$231/VLOOKUP(C268,fnEquipLibRange,4,FALSE),0),F268)),""))</f>
        <v/>
      </c>
      <c r="L268" s="103" t="str">
        <f>IF(F268*G268=0,"",IFERROR(IF(F268*G268*$D$234/$D$231&lt;VLOOKUP(C268,fnEquipLibRange,3,FALSE),VLOOKUP(C268,fnEquipLibRange,3,FALSE),F268*G268*$D$234/$D$231/MAX(ROUNDUP(F268*G268*$D$234/$D$231/VLOOKUP(C268,fnEquipLibRange,4,FALSE),0),F268)),""))</f>
        <v/>
      </c>
      <c r="M268" s="103"/>
      <c r="N268" s="104" t="str">
        <f>IF($K268="","",IFERROR($K268*fnEquipCostCorr*fnEquipCostIndex*fnEquipConstMaterial,""))</f>
        <v/>
      </c>
      <c r="O268" s="105" t="str">
        <f ca="1">IFERROR(fnEquipInstFactor*N268,"")</f>
        <v/>
      </c>
      <c r="P268" s="106" t="str">
        <f ca="1">IFERROR(fnEquipLaborFactor*K268,"")</f>
        <v/>
      </c>
      <c r="Q268" s="19"/>
      <c r="S268" s="95" t="str">
        <f t="shared" si="4"/>
        <v/>
      </c>
      <c r="T268" s="11" t="str">
        <f ca="1">IFERROR(IF(INDEX(fnEquipLibRange,fnEquipRowNum,39)="","",INDEX(fnEquipLibRange,fnEquipRowNum,39)),"")</f>
        <v/>
      </c>
    </row>
    <row r="269" spans="2:20" outlineLevel="1">
      <c r="B269" s="16"/>
      <c r="C269" s="69"/>
      <c r="D269" s="70"/>
      <c r="E269" s="70" t="str">
        <f ca="1">IFERROR(VLOOKUP(C269,fnEquipLibRange,16,FALSE),"")</f>
        <v/>
      </c>
      <c r="F269" s="70"/>
      <c r="G269" s="131"/>
      <c r="H269" s="107" t="str">
        <f ca="1">IFERROR(VLOOKUP(C269,fnEquipLibRange,2,FALSE),"")</f>
        <v/>
      </c>
      <c r="I269" s="101" t="str">
        <f>IF(ISBLANK(G269),"",IF(G269&lt;VLOOKUP(C269,fnEquipLibRange,3,FALSE),"&gt;&gt;&gt; Too Small &lt;&lt;&lt;",IF(G269&gt;VLOOKUP(C269,fnEquipLibRange,4,FALSE),"&gt;&gt;&gt; Too Large &lt;&lt;&lt;","Yes")))</f>
        <v/>
      </c>
      <c r="J269" s="101"/>
      <c r="K269" s="102" t="str">
        <f>IF(F269*G269=0,"",IFERROR(IF(F269*G269*$D$234/$D$231&lt;VLOOKUP(C269,fnEquipLibRange,3,FALSE),MAX(1,F269),MAX(ROUNDUP(F269*G269*$D$234/$D$231/VLOOKUP(C269,fnEquipLibRange,4,FALSE),0),F269)),""))</f>
        <v/>
      </c>
      <c r="L269" s="103" t="str">
        <f>IF(F269*G269=0,"",IFERROR(IF(F269*G269*$D$234/$D$231&lt;VLOOKUP(C269,fnEquipLibRange,3,FALSE),VLOOKUP(C269,fnEquipLibRange,3,FALSE),F269*G269*$D$234/$D$231/MAX(ROUNDUP(F269*G269*$D$234/$D$231/VLOOKUP(C269,fnEquipLibRange,4,FALSE),0),F269)),""))</f>
        <v/>
      </c>
      <c r="M269" s="103"/>
      <c r="N269" s="104" t="str">
        <f>IF($K269="","",IFERROR($K269*fnEquipCostCorr*fnEquipCostIndex*fnEquipConstMaterial,""))</f>
        <v/>
      </c>
      <c r="O269" s="105" t="str">
        <f ca="1">IFERROR(fnEquipInstFactor*N269,"")</f>
        <v/>
      </c>
      <c r="P269" s="106" t="str">
        <f ca="1">IFERROR(fnEquipLaborFactor*K269,"")</f>
        <v/>
      </c>
      <c r="Q269" s="19"/>
      <c r="S269" s="95" t="str">
        <f t="shared" si="4"/>
        <v/>
      </c>
      <c r="T269" s="11" t="str">
        <f ca="1">IFERROR(IF(INDEX(fnEquipLibRange,fnEquipRowNum,39)="","",INDEX(fnEquipLibRange,fnEquipRowNum,39)),"")</f>
        <v/>
      </c>
    </row>
    <row r="270" spans="2:20" outlineLevel="1">
      <c r="B270" s="16"/>
      <c r="C270" s="69"/>
      <c r="D270" s="70"/>
      <c r="E270" s="70" t="str">
        <f ca="1">IFERROR(VLOOKUP(C270,fnEquipLibRange,16,FALSE),"")</f>
        <v/>
      </c>
      <c r="F270" s="70"/>
      <c r="G270" s="131"/>
      <c r="H270" s="107" t="str">
        <f ca="1">IFERROR(VLOOKUP(C270,fnEquipLibRange,2,FALSE),"")</f>
        <v/>
      </c>
      <c r="I270" s="101" t="str">
        <f>IF(ISBLANK(G270),"",IF(G270&lt;VLOOKUP(C270,fnEquipLibRange,3,FALSE),"&gt;&gt;&gt; Too Small &lt;&lt;&lt;",IF(G270&gt;VLOOKUP(C270,fnEquipLibRange,4,FALSE),"&gt;&gt;&gt; Too Large &lt;&lt;&lt;","Yes")))</f>
        <v/>
      </c>
      <c r="J270" s="101"/>
      <c r="K270" s="102" t="str">
        <f>IF(F270*G270=0,"",IFERROR(IF(F270*G270*$D$234/$D$231&lt;VLOOKUP(C270,fnEquipLibRange,3,FALSE),MAX(1,F270),MAX(ROUNDUP(F270*G270*$D$234/$D$231/VLOOKUP(C270,fnEquipLibRange,4,FALSE),0),F270)),""))</f>
        <v/>
      </c>
      <c r="L270" s="103" t="str">
        <f>IF(F270*G270=0,"",IFERROR(IF(F270*G270*$D$234/$D$231&lt;VLOOKUP(C270,fnEquipLibRange,3,FALSE),VLOOKUP(C270,fnEquipLibRange,3,FALSE),F270*G270*$D$234/$D$231/MAX(ROUNDUP(F270*G270*$D$234/$D$231/VLOOKUP(C270,fnEquipLibRange,4,FALSE),0),F270)),""))</f>
        <v/>
      </c>
      <c r="M270" s="103"/>
      <c r="N270" s="104" t="str">
        <f>IF($K270="","",IFERROR($K270*fnEquipCostCorr*fnEquipCostIndex*fnEquipConstMaterial,""))</f>
        <v/>
      </c>
      <c r="O270" s="105" t="str">
        <f ca="1">IFERROR(fnEquipInstFactor*N270,"")</f>
        <v/>
      </c>
      <c r="P270" s="106" t="str">
        <f ca="1">IFERROR(fnEquipLaborFactor*K270,"")</f>
        <v/>
      </c>
      <c r="Q270" s="19"/>
      <c r="S270" s="95" t="str">
        <f t="shared" si="4"/>
        <v/>
      </c>
      <c r="T270" s="11" t="str">
        <f ca="1">IFERROR(IF(INDEX(fnEquipLibRange,fnEquipRowNum,39)="","",INDEX(fnEquipLibRange,fnEquipRowNum,39)),"")</f>
        <v/>
      </c>
    </row>
    <row r="271" spans="2:20" outlineLevel="1">
      <c r="B271" s="16"/>
      <c r="C271" s="69"/>
      <c r="D271" s="70"/>
      <c r="E271" s="70" t="str">
        <f ca="1">IFERROR(VLOOKUP(C271,fnEquipLibRange,16,FALSE),"")</f>
        <v/>
      </c>
      <c r="F271" s="70"/>
      <c r="G271" s="131"/>
      <c r="H271" s="107" t="str">
        <f ca="1">IFERROR(VLOOKUP(C271,fnEquipLibRange,2,FALSE),"")</f>
        <v/>
      </c>
      <c r="I271" s="101" t="str">
        <f>IF(ISBLANK(G271),"",IF(G271&lt;VLOOKUP(C271,fnEquipLibRange,3,FALSE),"&gt;&gt;&gt; Too Small &lt;&lt;&lt;",IF(G271&gt;VLOOKUP(C271,fnEquipLibRange,4,FALSE),"&gt;&gt;&gt; Too Large &lt;&lt;&lt;","Yes")))</f>
        <v/>
      </c>
      <c r="J271" s="101"/>
      <c r="K271" s="102" t="str">
        <f>IF(F271*G271=0,"",IFERROR(IF(F271*G271*$D$234/$D$231&lt;VLOOKUP(C271,fnEquipLibRange,3,FALSE),MAX(1,F271),MAX(ROUNDUP(F271*G271*$D$234/$D$231/VLOOKUP(C271,fnEquipLibRange,4,FALSE),0),F271)),""))</f>
        <v/>
      </c>
      <c r="L271" s="103" t="str">
        <f>IF(F271*G271=0,"",IFERROR(IF(F271*G271*$D$234/$D$231&lt;VLOOKUP(C271,fnEquipLibRange,3,FALSE),VLOOKUP(C271,fnEquipLibRange,3,FALSE),F271*G271*$D$234/$D$231/MAX(ROUNDUP(F271*G271*$D$234/$D$231/VLOOKUP(C271,fnEquipLibRange,4,FALSE),0),F271)),""))</f>
        <v/>
      </c>
      <c r="M271" s="103"/>
      <c r="N271" s="104" t="str">
        <f>IF($K271="","",IFERROR($K271*fnEquipCostCorr*fnEquipCostIndex*fnEquipConstMaterial,""))</f>
        <v/>
      </c>
      <c r="O271" s="105" t="str">
        <f ca="1">IFERROR(fnEquipInstFactor*N271,"")</f>
        <v/>
      </c>
      <c r="P271" s="106" t="str">
        <f ca="1">IFERROR(fnEquipLaborFactor*K271,"")</f>
        <v/>
      </c>
      <c r="Q271" s="19"/>
      <c r="S271" s="95" t="str">
        <f t="shared" si="4"/>
        <v/>
      </c>
      <c r="T271" s="11" t="str">
        <f ca="1">IFERROR(IF(INDEX(fnEquipLibRange,fnEquipRowNum,39)="","",INDEX(fnEquipLibRange,fnEquipRowNum,39)),"")</f>
        <v/>
      </c>
    </row>
    <row r="272" spans="2:20" outlineLevel="1">
      <c r="B272" s="16"/>
      <c r="C272" s="69"/>
      <c r="D272" s="70"/>
      <c r="E272" s="70" t="str">
        <f ca="1">IFERROR(VLOOKUP(C272,fnEquipLibRange,16,FALSE),"")</f>
        <v/>
      </c>
      <c r="F272" s="70"/>
      <c r="G272" s="131"/>
      <c r="H272" s="107" t="str">
        <f ca="1">IFERROR(VLOOKUP(C272,fnEquipLibRange,2,FALSE),"")</f>
        <v/>
      </c>
      <c r="I272" s="101" t="str">
        <f>IF(ISBLANK(G272),"",IF(G272&lt;VLOOKUP(C272,fnEquipLibRange,3,FALSE),"&gt;&gt;&gt; Too Small &lt;&lt;&lt;",IF(G272&gt;VLOOKUP(C272,fnEquipLibRange,4,FALSE),"&gt;&gt;&gt; Too Large &lt;&lt;&lt;","Yes")))</f>
        <v/>
      </c>
      <c r="J272" s="101"/>
      <c r="K272" s="102" t="str">
        <f>IF(F272*G272=0,"",IFERROR(IF(F272*G272*$D$234/$D$231&lt;VLOOKUP(C272,fnEquipLibRange,3,FALSE),MAX(1,F272),MAX(ROUNDUP(F272*G272*$D$234/$D$231/VLOOKUP(C272,fnEquipLibRange,4,FALSE),0),F272)),""))</f>
        <v/>
      </c>
      <c r="L272" s="103" t="str">
        <f>IF(F272*G272=0,"",IFERROR(IF(F272*G272*$D$234/$D$231&lt;VLOOKUP(C272,fnEquipLibRange,3,FALSE),VLOOKUP(C272,fnEquipLibRange,3,FALSE),F272*G272*$D$234/$D$231/MAX(ROUNDUP(F272*G272*$D$234/$D$231/VLOOKUP(C272,fnEquipLibRange,4,FALSE),0),F272)),""))</f>
        <v/>
      </c>
      <c r="M272" s="103"/>
      <c r="N272" s="104" t="str">
        <f>IF($K272="","",IFERROR($K272*fnEquipCostCorr*fnEquipCostIndex*fnEquipConstMaterial,""))</f>
        <v/>
      </c>
      <c r="O272" s="105" t="str">
        <f ca="1">IFERROR(fnEquipInstFactor*N272,"")</f>
        <v/>
      </c>
      <c r="P272" s="106" t="str">
        <f ca="1">IFERROR(fnEquipLaborFactor*K272,"")</f>
        <v/>
      </c>
      <c r="Q272" s="19"/>
      <c r="S272" s="95" t="str">
        <f t="shared" si="4"/>
        <v/>
      </c>
      <c r="T272" s="11" t="str">
        <f ca="1">IFERROR(IF(INDEX(fnEquipLibRange,fnEquipRowNum,39)="","",INDEX(fnEquipLibRange,fnEquipRowNum,39)),"")</f>
        <v/>
      </c>
    </row>
    <row r="273" spans="1:20" outlineLevel="1">
      <c r="B273" s="16"/>
      <c r="C273" s="69"/>
      <c r="D273" s="70"/>
      <c r="E273" s="70" t="str">
        <f ca="1">IFERROR(VLOOKUP(C273,fnEquipLibRange,16,FALSE),"")</f>
        <v/>
      </c>
      <c r="F273" s="70"/>
      <c r="G273" s="131"/>
      <c r="H273" s="107" t="str">
        <f ca="1">IFERROR(VLOOKUP(C273,fnEquipLibRange,2,FALSE),"")</f>
        <v/>
      </c>
      <c r="I273" s="101" t="str">
        <f>IF(ISBLANK(G273),"",IF(G273&lt;VLOOKUP(C273,fnEquipLibRange,3,FALSE),"&gt;&gt;&gt; Too Small &lt;&lt;&lt;",IF(G273&gt;VLOOKUP(C273,fnEquipLibRange,4,FALSE),"&gt;&gt;&gt; Too Large &lt;&lt;&lt;","Yes")))</f>
        <v/>
      </c>
      <c r="J273" s="101"/>
      <c r="K273" s="102" t="str">
        <f>IF(F273*G273=0,"",IFERROR(IF(F273*G273*$D$234/$D$231&lt;VLOOKUP(C273,fnEquipLibRange,3,FALSE),MAX(1,F273),MAX(ROUNDUP(F273*G273*$D$234/$D$231/VLOOKUP(C273,fnEquipLibRange,4,FALSE),0),F273)),""))</f>
        <v/>
      </c>
      <c r="L273" s="103" t="str">
        <f>IF(F273*G273=0,"",IFERROR(IF(F273*G273*$D$234/$D$231&lt;VLOOKUP(C273,fnEquipLibRange,3,FALSE),VLOOKUP(C273,fnEquipLibRange,3,FALSE),F273*G273*$D$234/$D$231/MAX(ROUNDUP(F273*G273*$D$234/$D$231/VLOOKUP(C273,fnEquipLibRange,4,FALSE),0),F273)),""))</f>
        <v/>
      </c>
      <c r="M273" s="103"/>
      <c r="N273" s="104" t="str">
        <f>IF($K273="","",IFERROR($K273*fnEquipCostCorr*fnEquipCostIndex*fnEquipConstMaterial,""))</f>
        <v/>
      </c>
      <c r="O273" s="105" t="str">
        <f ca="1">IFERROR(fnEquipInstFactor*N273,"")</f>
        <v/>
      </c>
      <c r="P273" s="106" t="str">
        <f ca="1">IFERROR(fnEquipLaborFactor*K273,"")</f>
        <v/>
      </c>
      <c r="Q273" s="19"/>
      <c r="S273" s="95" t="str">
        <f t="shared" si="4"/>
        <v/>
      </c>
      <c r="T273" s="11" t="str">
        <f ca="1">IFERROR(IF(INDEX(fnEquipLibRange,fnEquipRowNum,39)="","",INDEX(fnEquipLibRange,fnEquipRowNum,39)),"")</f>
        <v/>
      </c>
    </row>
    <row r="274" spans="1:20" outlineLevel="1">
      <c r="B274" s="16"/>
      <c r="C274" s="69"/>
      <c r="D274" s="70"/>
      <c r="E274" s="70" t="str">
        <f ca="1">IFERROR(VLOOKUP(C274,fnEquipLibRange,16,FALSE),"")</f>
        <v/>
      </c>
      <c r="F274" s="70"/>
      <c r="G274" s="131"/>
      <c r="H274" s="107" t="str">
        <f ca="1">IFERROR(VLOOKUP(C274,fnEquipLibRange,2,FALSE),"")</f>
        <v/>
      </c>
      <c r="I274" s="101" t="str">
        <f>IF(ISBLANK(G274),"",IF(G274&lt;VLOOKUP(C274,fnEquipLibRange,3,FALSE),"&gt;&gt;&gt; Too Small &lt;&lt;&lt;",IF(G274&gt;VLOOKUP(C274,fnEquipLibRange,4,FALSE),"&gt;&gt;&gt; Too Large &lt;&lt;&lt;","Yes")))</f>
        <v/>
      </c>
      <c r="J274" s="101"/>
      <c r="K274" s="102" t="str">
        <f>IF(F274*G274=0,"",IFERROR(IF(F274*G274*$D$234/$D$231&lt;VLOOKUP(C274,fnEquipLibRange,3,FALSE),MAX(1,F274),MAX(ROUNDUP(F274*G274*$D$234/$D$231/VLOOKUP(C274,fnEquipLibRange,4,FALSE),0),F274)),""))</f>
        <v/>
      </c>
      <c r="L274" s="103" t="str">
        <f>IF(F274*G274=0,"",IFERROR(IF(F274*G274*$D$234/$D$231&lt;VLOOKUP(C274,fnEquipLibRange,3,FALSE),VLOOKUP(C274,fnEquipLibRange,3,FALSE),F274*G274*$D$234/$D$231/MAX(ROUNDUP(F274*G274*$D$234/$D$231/VLOOKUP(C274,fnEquipLibRange,4,FALSE),0),F274)),""))</f>
        <v/>
      </c>
      <c r="M274" s="103"/>
      <c r="N274" s="104" t="str">
        <f>IF($K274="","",IFERROR($K274*fnEquipCostCorr*fnEquipCostIndex*fnEquipConstMaterial,""))</f>
        <v/>
      </c>
      <c r="O274" s="105" t="str">
        <f ca="1">IFERROR(fnEquipInstFactor*N274,"")</f>
        <v/>
      </c>
      <c r="P274" s="106" t="str">
        <f ca="1">IFERROR(fnEquipLaborFactor*K274,"")</f>
        <v/>
      </c>
      <c r="Q274" s="19"/>
      <c r="S274" s="95" t="str">
        <f t="shared" si="4"/>
        <v/>
      </c>
      <c r="T274" s="11" t="str">
        <f ca="1">IFERROR(IF(INDEX(fnEquipLibRange,fnEquipRowNum,39)="","",INDEX(fnEquipLibRange,fnEquipRowNum,39)),"")</f>
        <v/>
      </c>
    </row>
    <row r="275" spans="1:20" outlineLevel="1">
      <c r="B275" s="16"/>
      <c r="C275" s="69"/>
      <c r="D275" s="70"/>
      <c r="E275" s="70" t="str">
        <f ca="1">IFERROR(VLOOKUP(C275,fnEquipLibRange,16,FALSE),"")</f>
        <v/>
      </c>
      <c r="F275" s="70"/>
      <c r="G275" s="131"/>
      <c r="H275" s="107" t="str">
        <f ca="1">IFERROR(VLOOKUP(C275,fnEquipLibRange,2,FALSE),"")</f>
        <v/>
      </c>
      <c r="I275" s="101" t="str">
        <f>IF(ISBLANK(G275),"",IF(G275&lt;VLOOKUP(C275,fnEquipLibRange,3,FALSE),"&gt;&gt;&gt; Too Small &lt;&lt;&lt;",IF(G275&gt;VLOOKUP(C275,fnEquipLibRange,4,FALSE),"&gt;&gt;&gt; Too Large &lt;&lt;&lt;","Yes")))</f>
        <v/>
      </c>
      <c r="J275" s="101"/>
      <c r="K275" s="102" t="str">
        <f>IF(F275*G275=0,"",IFERROR(IF(F275*G275*$D$234/$D$231&lt;VLOOKUP(C275,fnEquipLibRange,3,FALSE),MAX(1,F275),MAX(ROUNDUP(F275*G275*$D$234/$D$231/VLOOKUP(C275,fnEquipLibRange,4,FALSE),0),F275)),""))</f>
        <v/>
      </c>
      <c r="L275" s="103" t="str">
        <f>IF(F275*G275=0,"",IFERROR(IF(F275*G275*$D$234/$D$231&lt;VLOOKUP(C275,fnEquipLibRange,3,FALSE),VLOOKUP(C275,fnEquipLibRange,3,FALSE),F275*G275*$D$234/$D$231/MAX(ROUNDUP(F275*G275*$D$234/$D$231/VLOOKUP(C275,fnEquipLibRange,4,FALSE),0),F275)),""))</f>
        <v/>
      </c>
      <c r="M275" s="103"/>
      <c r="N275" s="104" t="str">
        <f>IF($K275="","",IFERROR($K275*fnEquipCostCorr*fnEquipCostIndex*fnEquipConstMaterial,""))</f>
        <v/>
      </c>
      <c r="O275" s="105" t="str">
        <f ca="1">IFERROR(fnEquipInstFactor*N275,"")</f>
        <v/>
      </c>
      <c r="P275" s="106" t="str">
        <f ca="1">IFERROR(fnEquipLaborFactor*K275,"")</f>
        <v/>
      </c>
      <c r="Q275" s="19"/>
      <c r="S275" s="95" t="str">
        <f t="shared" si="4"/>
        <v/>
      </c>
      <c r="T275" s="11" t="str">
        <f ca="1">IFERROR(IF(INDEX(fnEquipLibRange,fnEquipRowNum,39)="","",INDEX(fnEquipLibRange,fnEquipRowNum,39)),"")</f>
        <v/>
      </c>
    </row>
    <row r="276" spans="1:20" outlineLevel="1">
      <c r="B276" s="16"/>
      <c r="C276" s="69"/>
      <c r="D276" s="70"/>
      <c r="E276" s="70" t="str">
        <f ca="1">IFERROR(VLOOKUP(C276,fnEquipLibRange,16,FALSE),"")</f>
        <v/>
      </c>
      <c r="F276" s="70"/>
      <c r="G276" s="131"/>
      <c r="H276" s="107" t="str">
        <f ca="1">IFERROR(VLOOKUP(C276,fnEquipLibRange,2,FALSE),"")</f>
        <v/>
      </c>
      <c r="I276" s="101" t="str">
        <f>IF(ISBLANK(G276),"",IF(G276&lt;VLOOKUP(C276,fnEquipLibRange,3,FALSE),"&gt;&gt;&gt; Too Small &lt;&lt;&lt;",IF(G276&gt;VLOOKUP(C276,fnEquipLibRange,4,FALSE),"&gt;&gt;&gt; Too Large &lt;&lt;&lt;","Yes")))</f>
        <v/>
      </c>
      <c r="J276" s="101"/>
      <c r="K276" s="102" t="str">
        <f>IF(F276*G276=0,"",IFERROR(IF(F276*G276*$D$234/$D$231&lt;VLOOKUP(C276,fnEquipLibRange,3,FALSE),MAX(1,F276),MAX(ROUNDUP(F276*G276*$D$234/$D$231/VLOOKUP(C276,fnEquipLibRange,4,FALSE),0),F276)),""))</f>
        <v/>
      </c>
      <c r="L276" s="103" t="str">
        <f>IF(F276*G276=0,"",IFERROR(IF(F276*G276*$D$234/$D$231&lt;VLOOKUP(C276,fnEquipLibRange,3,FALSE),VLOOKUP(C276,fnEquipLibRange,3,FALSE),F276*G276*$D$234/$D$231/MAX(ROUNDUP(F276*G276*$D$234/$D$231/VLOOKUP(C276,fnEquipLibRange,4,FALSE),0),F276)),""))</f>
        <v/>
      </c>
      <c r="M276" s="103"/>
      <c r="N276" s="104" t="str">
        <f>IF($K276="","",IFERROR($K276*fnEquipCostCorr*fnEquipCostIndex*fnEquipConstMaterial,""))</f>
        <v/>
      </c>
      <c r="O276" s="105" t="str">
        <f ca="1">IFERROR(fnEquipInstFactor*N276,"")</f>
        <v/>
      </c>
      <c r="P276" s="106" t="str">
        <f ca="1">IFERROR(fnEquipLaborFactor*K276,"")</f>
        <v/>
      </c>
      <c r="Q276" s="19"/>
      <c r="S276" s="95" t="str">
        <f t="shared" si="4"/>
        <v/>
      </c>
      <c r="T276" s="11" t="str">
        <f ca="1">IFERROR(IF(INDEX(fnEquipLibRange,fnEquipRowNum,39)="","",INDEX(fnEquipLibRange,fnEquipRowNum,39)),"")</f>
        <v/>
      </c>
    </row>
    <row r="277" spans="1:20" outlineLevel="1">
      <c r="B277" s="16"/>
      <c r="C277" s="69"/>
      <c r="D277" s="70"/>
      <c r="E277" s="70" t="str">
        <f ca="1">IFERROR(VLOOKUP(C277,fnEquipLibRange,16,FALSE),"")</f>
        <v/>
      </c>
      <c r="F277" s="70"/>
      <c r="G277" s="131"/>
      <c r="H277" s="107" t="str">
        <f ca="1">IFERROR(VLOOKUP(C277,fnEquipLibRange,2,FALSE),"")</f>
        <v/>
      </c>
      <c r="I277" s="101" t="str">
        <f>IF(ISBLANK(G277),"",IF(G277&lt;VLOOKUP(C277,fnEquipLibRange,3,FALSE),"&gt;&gt;&gt; Too Small &lt;&lt;&lt;",IF(G277&gt;VLOOKUP(C277,fnEquipLibRange,4,FALSE),"&gt;&gt;&gt; Too Large &lt;&lt;&lt;","Yes")))</f>
        <v/>
      </c>
      <c r="J277" s="101"/>
      <c r="K277" s="102" t="str">
        <f>IF(F277*G277=0,"",IFERROR(IF(F277*G277*$D$234/$D$231&lt;VLOOKUP(C277,fnEquipLibRange,3,FALSE),MAX(1,F277),MAX(ROUNDUP(F277*G277*$D$234/$D$231/VLOOKUP(C277,fnEquipLibRange,4,FALSE),0),F277)),""))</f>
        <v/>
      </c>
      <c r="L277" s="103" t="str">
        <f>IF(F277*G277=0,"",IFERROR(IF(F277*G277*$D$234/$D$231&lt;VLOOKUP(C277,fnEquipLibRange,3,FALSE),VLOOKUP(C277,fnEquipLibRange,3,FALSE),F277*G277*$D$234/$D$231/MAX(ROUNDUP(F277*G277*$D$234/$D$231/VLOOKUP(C277,fnEquipLibRange,4,FALSE),0),F277)),""))</f>
        <v/>
      </c>
      <c r="M277" s="103"/>
      <c r="N277" s="104" t="str">
        <f>IF($K277="","",IFERROR($K277*fnEquipCostCorr*fnEquipCostIndex*fnEquipConstMaterial,""))</f>
        <v/>
      </c>
      <c r="O277" s="105" t="str">
        <f ca="1">IFERROR(fnEquipInstFactor*N277,"")</f>
        <v/>
      </c>
      <c r="P277" s="106" t="str">
        <f ca="1">IFERROR(fnEquipLaborFactor*K277,"")</f>
        <v/>
      </c>
      <c r="Q277" s="19"/>
      <c r="S277" s="95" t="str">
        <f t="shared" si="4"/>
        <v/>
      </c>
      <c r="T277" s="11" t="str">
        <f ca="1">IFERROR(IF(INDEX(fnEquipLibRange,fnEquipRowNum,39)="","",INDEX(fnEquipLibRange,fnEquipRowNum,39)),"")</f>
        <v/>
      </c>
    </row>
    <row r="278" spans="1:20" outlineLevel="1">
      <c r="B278" s="16"/>
      <c r="C278" s="69"/>
      <c r="D278" s="70"/>
      <c r="E278" s="70" t="str">
        <f ca="1">IFERROR(VLOOKUP(C278,fnEquipLibRange,16,FALSE),"")</f>
        <v/>
      </c>
      <c r="F278" s="70"/>
      <c r="G278" s="131"/>
      <c r="H278" s="107" t="str">
        <f ca="1">IFERROR(VLOOKUP(C278,fnEquipLibRange,2,FALSE),"")</f>
        <v/>
      </c>
      <c r="I278" s="101" t="str">
        <f>IF(ISBLANK(G278),"",IF(G278&lt;VLOOKUP(C278,fnEquipLibRange,3,FALSE),"&gt;&gt;&gt; Too Small &lt;&lt;&lt;",IF(G278&gt;VLOOKUP(C278,fnEquipLibRange,4,FALSE),"&gt;&gt;&gt; Too Large &lt;&lt;&lt;","Yes")))</f>
        <v/>
      </c>
      <c r="J278" s="101"/>
      <c r="K278" s="102" t="str">
        <f>IF(F278*G278=0,"",IFERROR(IF(F278*G278*$D$234/$D$231&lt;VLOOKUP(C278,fnEquipLibRange,3,FALSE),MAX(1,F278),MAX(ROUNDUP(F278*G278*$D$234/$D$231/VLOOKUP(C278,fnEquipLibRange,4,FALSE),0),F278)),""))</f>
        <v/>
      </c>
      <c r="L278" s="103" t="str">
        <f>IF(F278*G278=0,"",IFERROR(IF(F278*G278*$D$234/$D$231&lt;VLOOKUP(C278,fnEquipLibRange,3,FALSE),VLOOKUP(C278,fnEquipLibRange,3,FALSE),F278*G278*$D$234/$D$231/MAX(ROUNDUP(F278*G278*$D$234/$D$231/VLOOKUP(C278,fnEquipLibRange,4,FALSE),0),F278)),""))</f>
        <v/>
      </c>
      <c r="M278" s="103"/>
      <c r="N278" s="104" t="str">
        <f>IF($K278="","",IFERROR($K278*fnEquipCostCorr*fnEquipCostIndex*fnEquipConstMaterial,""))</f>
        <v/>
      </c>
      <c r="O278" s="105" t="str">
        <f ca="1">IFERROR(fnEquipInstFactor*N278,"")</f>
        <v/>
      </c>
      <c r="P278" s="106" t="str">
        <f ca="1">IFERROR(fnEquipLaborFactor*K278,"")</f>
        <v/>
      </c>
      <c r="Q278" s="19"/>
      <c r="S278" s="95" t="str">
        <f t="shared" si="4"/>
        <v/>
      </c>
      <c r="T278" s="11" t="str">
        <f ca="1">IFERROR(IF(INDEX(fnEquipLibRange,fnEquipRowNum,39)="","",INDEX(fnEquipLibRange,fnEquipRowNum,39)),"")</f>
        <v/>
      </c>
    </row>
    <row r="279" spans="1:20" ht="17" outlineLevel="1" thickBot="1">
      <c r="B279" s="21"/>
      <c r="C279" s="22"/>
      <c r="D279" s="22"/>
      <c r="E279" s="22"/>
      <c r="F279" s="22"/>
      <c r="G279" s="22"/>
      <c r="H279" s="22"/>
      <c r="I279" s="22"/>
      <c r="J279" s="22"/>
      <c r="K279" s="22"/>
      <c r="L279" s="100"/>
      <c r="M279" s="100"/>
      <c r="N279" s="22"/>
      <c r="O279" s="22"/>
      <c r="P279" s="22"/>
      <c r="Q279" s="23"/>
    </row>
    <row r="280" spans="1:20" ht="32" customHeight="1" outlineLevel="1">
      <c r="B280" s="429" t="str">
        <f>"Equipment Cost Totals: "&amp;C223</f>
        <v>Equipment Cost Totals: Zeolite for FCC</v>
      </c>
      <c r="C280" s="430"/>
      <c r="D280" s="430"/>
      <c r="E280" s="431"/>
      <c r="N280" s="11" t="s">
        <v>1858</v>
      </c>
      <c r="O280" s="11" t="s">
        <v>1859</v>
      </c>
      <c r="P280" s="11" t="s">
        <v>1855</v>
      </c>
    </row>
    <row r="281" spans="1:20" outlineLevel="1">
      <c r="B281" s="16"/>
      <c r="C281" s="17" t="str">
        <f>"Equipment Cost Totals for "&amp;C223</f>
        <v>Equipment Cost Totals for Zeolite for FCC</v>
      </c>
      <c r="D281" s="18"/>
      <c r="E281" s="19"/>
      <c r="L281" s="11" t="s">
        <v>1854</v>
      </c>
      <c r="N281" s="416">
        <f ca="1">SUM(N261:N263)/SUM(N239:N259)</f>
        <v>0.23058142060886647</v>
      </c>
      <c r="O281" s="416">
        <f ca="1">SUM(O261:O263)/SUM(O239:O259)</f>
        <v>0.19979186281525185</v>
      </c>
      <c r="P281" s="11">
        <v>20</v>
      </c>
    </row>
    <row r="282" spans="1:20" outlineLevel="1">
      <c r="B282" s="16"/>
      <c r="C282" s="18"/>
      <c r="D282" s="163" t="s">
        <v>310</v>
      </c>
      <c r="E282" s="309">
        <f ca="1">SUM(N239:N278)</f>
        <v>27053488.518370878</v>
      </c>
      <c r="L282" s="11" t="s">
        <v>293</v>
      </c>
      <c r="N282" s="416">
        <f ca="1">SUM(N264:N265)/SUM(N239:N259)</f>
        <v>0.13495314065661557</v>
      </c>
      <c r="O282" s="416">
        <f ca="1">SUM(O264:O265)/SUM(O239:O259)</f>
        <v>0.15043975262690826</v>
      </c>
      <c r="P282" s="11">
        <v>15</v>
      </c>
    </row>
    <row r="283" spans="1:20" outlineLevel="1">
      <c r="B283" s="16"/>
      <c r="C283" s="18"/>
      <c r="D283" s="163" t="s">
        <v>358</v>
      </c>
      <c r="E283" s="309">
        <f ca="1">SUM(O239:O278)</f>
        <v>43874490.081776053</v>
      </c>
      <c r="N283" s="11" t="s">
        <v>1856</v>
      </c>
    </row>
    <row r="284" spans="1:20" outlineLevel="1">
      <c r="B284" s="16"/>
      <c r="C284" s="18"/>
      <c r="D284" s="163" t="s">
        <v>1004</v>
      </c>
      <c r="E284" s="310">
        <f ca="1">SUM(P239:P278)</f>
        <v>17.14</v>
      </c>
    </row>
    <row r="285" spans="1:20" ht="17" outlineLevel="1" thickBot="1">
      <c r="B285" s="21"/>
      <c r="C285" s="22"/>
      <c r="D285" s="22"/>
      <c r="E285" s="23"/>
    </row>
    <row r="286" spans="1:20">
      <c r="A286" s="314" t="str">
        <f>"&lt;– show/hide "&amp;B220</f>
        <v>&lt;– show/hide Process Template: Zeolite for FCC</v>
      </c>
    </row>
  </sheetData>
  <mergeCells count="37">
    <mergeCell ref="B3:E3"/>
    <mergeCell ref="B280:E280"/>
    <mergeCell ref="B225:G225"/>
    <mergeCell ref="B194:G194"/>
    <mergeCell ref="C195:I195"/>
    <mergeCell ref="B136:G136"/>
    <mergeCell ref="B171:E171"/>
    <mergeCell ref="B183:G183"/>
    <mergeCell ref="B147:G147"/>
    <mergeCell ref="C148:I148"/>
    <mergeCell ref="B236:G236"/>
    <mergeCell ref="C237:I237"/>
    <mergeCell ref="B213:E213"/>
    <mergeCell ref="B14:G14"/>
    <mergeCell ref="B100:G100"/>
    <mergeCell ref="B77:E77"/>
    <mergeCell ref="C101:I101"/>
    <mergeCell ref="K101:L101"/>
    <mergeCell ref="N34:P34"/>
    <mergeCell ref="K34:L34"/>
    <mergeCell ref="C34:I34"/>
    <mergeCell ref="N148:P148"/>
    <mergeCell ref="S148:T148"/>
    <mergeCell ref="B22:G22"/>
    <mergeCell ref="B33:G33"/>
    <mergeCell ref="K237:L237"/>
    <mergeCell ref="K148:L148"/>
    <mergeCell ref="N237:P237"/>
    <mergeCell ref="S237:T237"/>
    <mergeCell ref="K195:L195"/>
    <mergeCell ref="N195:P195"/>
    <mergeCell ref="S195:T195"/>
    <mergeCell ref="N101:P101"/>
    <mergeCell ref="S101:T101"/>
    <mergeCell ref="B124:E124"/>
    <mergeCell ref="S34:T34"/>
    <mergeCell ref="B89:G89"/>
  </mergeCells>
  <conditionalFormatting sqref="C36:G75">
    <cfRule type="containsBlanks" dxfId="134" priority="24">
      <formula>LEN(TRIM(C36))=0</formula>
    </cfRule>
  </conditionalFormatting>
  <conditionalFormatting sqref="C6 D24:D27">
    <cfRule type="containsBlanks" dxfId="133" priority="23">
      <formula>LEN(TRIM(C6))=0</formula>
    </cfRule>
  </conditionalFormatting>
  <conditionalFormatting sqref="C103:G122">
    <cfRule type="containsBlanks" dxfId="132" priority="11">
      <formula>LEN(TRIM(C103))=0</formula>
    </cfRule>
  </conditionalFormatting>
  <conditionalFormatting sqref="D91:D94">
    <cfRule type="containsBlanks" dxfId="131" priority="10">
      <formula>LEN(TRIM(D91))=0</formula>
    </cfRule>
  </conditionalFormatting>
  <conditionalFormatting sqref="C150:G169">
    <cfRule type="containsBlanks" dxfId="130" priority="7">
      <formula>LEN(TRIM(C150))=0</formula>
    </cfRule>
  </conditionalFormatting>
  <conditionalFormatting sqref="D138:D141">
    <cfRule type="containsBlanks" dxfId="129" priority="6">
      <formula>LEN(TRIM(D138))=0</formula>
    </cfRule>
  </conditionalFormatting>
  <conditionalFormatting sqref="C197:G211">
    <cfRule type="containsBlanks" dxfId="128" priority="5">
      <formula>LEN(TRIM(C197))=0</formula>
    </cfRule>
  </conditionalFormatting>
  <conditionalFormatting sqref="D185:D188">
    <cfRule type="containsBlanks" dxfId="127" priority="4">
      <formula>LEN(TRIM(D185))=0</formula>
    </cfRule>
  </conditionalFormatting>
  <conditionalFormatting sqref="C239:G260 C265:G278 E261:G264 F264:G265 C261:C265">
    <cfRule type="containsBlanks" dxfId="126" priority="3">
      <formula>LEN(TRIM(C239))=0</formula>
    </cfRule>
  </conditionalFormatting>
  <conditionalFormatting sqref="D227:D230">
    <cfRule type="containsBlanks" dxfId="125" priority="2">
      <formula>LEN(TRIM(D227))=0</formula>
    </cfRule>
  </conditionalFormatting>
  <conditionalFormatting sqref="D261:D265">
    <cfRule type="containsBlanks" dxfId="124" priority="1">
      <formula>LEN(TRIM(D261))=0</formula>
    </cfRule>
  </conditionalFormatting>
  <dataValidations count="6">
    <dataValidation type="list" allowBlank="1" showInputMessage="1" showErrorMessage="1" sqref="D25 D92 D139 D186 D228" xr:uid="{513B459E-F6B5-0346-ACB5-D6EF68002DC9}">
      <formula1>MassUnits</formula1>
    </dataValidation>
    <dataValidation type="list" allowBlank="1" showInputMessage="1" showErrorMessage="1" sqref="D27 D94 D141 D188 D230" xr:uid="{ACDA9A45-ADBD-E74F-ACA8-CE7D4494B4E8}">
      <formula1>"hour,day,week,month,year"</formula1>
    </dataValidation>
    <dataValidation type="list" allowBlank="1" showInputMessage="1" showErrorMessage="1" sqref="D26 D93 D140 D187 D229" xr:uid="{869CEAD0-BFA2-184A-8A3E-0DD3B01E9238}">
      <formula1>"catalyst,active phase"</formula1>
    </dataValidation>
    <dataValidation type="list" allowBlank="1" showInputMessage="1" showErrorMessage="1" sqref="E103:E122 E36:E75 E150:E169 E197:E211 E239:E278" xr:uid="{00000000-0002-0000-0400-000000000000}">
      <formula1>INDIRECT("'Equip. Library'!R"&amp;fnEquipRowNum&amp;"C17:R"&amp;fnEquipRowNum&amp;"C"&amp;(16+COUNTA(INDIRECT("'Equip. Library'!Q"&amp;fnEquipRowNum&amp;":Z"&amp;fnEquipRowNum))),FALSE)</formula1>
    </dataValidation>
    <dataValidation type="list" allowBlank="1" showInputMessage="1" showErrorMessage="1" sqref="C36:C75 C103:C122 C150:C169 C197:C211 C239:C278" xr:uid="{00000000-0002-0000-0400-000001000000}">
      <formula1>fnEquipNames</formula1>
    </dataValidation>
    <dataValidation type="list" allowBlank="1" showInputMessage="1" showErrorMessage="1" sqref="C6" xr:uid="{03E328BD-AF00-074B-BBDA-9E63AD4D58C9}">
      <formula1>fnEquipTemplates</formula1>
    </dataValidation>
  </dataValidations>
  <pageMargins left="0.75" right="0.75" top="1" bottom="1" header="0.5" footer="0.5"/>
  <pageSetup orientation="portrait" horizontalDpi="4294967292" verticalDpi="4294967292"/>
  <ignoredErrors>
    <ignoredError sqref="A1:XFD5 A7:XFD130 A6:B6 D6:XFD6 A131:XFD226 A266:XFD268 A239:B264 D239:E241 H239:XFD264 D243:E246 D242 D248:E249 D247 D251:E251 D250 D253:E254 D252 D259:E259 D256 D257 D258 E261:E264 A231:XFD236 A227:C230 E227:XFD230 A238:XFD238 A237:B237 L237:XFD237 D237:J237 A284:XFD1048576 A281:H281 M281 A282:K282 M282 Q281:XFD281 Q282:XFD282 J281:K281 A280:M280 Q280:XFD280 A283:M283 O283:XFD283 E260 A270:XFD279 A269:B269 D269:E269 H269:XFD269 A265:B265 E265 H265:XFD265 D255" emptyCellReference="1"/>
  </ignoredErrors>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59999389629810485"/>
  </sheetPr>
  <dimension ref="B1:V78"/>
  <sheetViews>
    <sheetView workbookViewId="0">
      <pane ySplit="1" topLeftCell="A2" activePane="bottomLeft" state="frozenSplit"/>
      <selection pane="bottomLeft" activeCell="S16" sqref="S16"/>
    </sheetView>
  </sheetViews>
  <sheetFormatPr baseColWidth="10" defaultColWidth="10.83203125" defaultRowHeight="16" outlineLevelCol="1"/>
  <cols>
    <col min="1" max="2" width="2.5" style="11" customWidth="1"/>
    <col min="3" max="3" width="14.1640625" style="11" bestFit="1" customWidth="1"/>
    <col min="4" max="4" width="25.1640625" style="11" customWidth="1"/>
    <col min="5" max="6" width="10.83203125" style="11" customWidth="1" outlineLevel="1"/>
    <col min="7" max="7" width="10.83203125" style="11"/>
    <col min="8" max="8" width="2.5" style="11" customWidth="1"/>
    <col min="9" max="9" width="11.33203125" style="11" bestFit="1" customWidth="1"/>
    <col min="10" max="11" width="10.83203125" style="11" customWidth="1" outlineLevel="1"/>
    <col min="12" max="12" width="10.83203125" style="11" customWidth="1"/>
    <col min="13" max="13" width="16.5" style="11" bestFit="1" customWidth="1"/>
    <col min="14" max="14" width="11.83203125" style="11" bestFit="1" customWidth="1"/>
    <col min="15" max="15" width="2.5" style="11" customWidth="1"/>
    <col min="16" max="16" width="4.83203125" style="11" customWidth="1"/>
    <col min="17" max="17" width="2.5" style="11" customWidth="1"/>
    <col min="18" max="16384" width="10.83203125" style="11"/>
  </cols>
  <sheetData>
    <row r="1" spans="2:22" s="111" customFormat="1" ht="24" customHeight="1">
      <c r="B1" s="108" t="str">
        <f>"CatCost v"&amp;Version&amp;": "&amp;EstimateName</f>
        <v>CatCost v1.0.0: FCC RE USY</v>
      </c>
      <c r="H1" s="109" t="s">
        <v>44</v>
      </c>
      <c r="V1" s="112"/>
    </row>
    <row r="2" spans="2:22" ht="17" thickBot="1"/>
    <row r="3" spans="2:22" ht="21" thickBot="1">
      <c r="B3" s="417" t="s">
        <v>1059</v>
      </c>
      <c r="C3" s="418"/>
      <c r="D3" s="418"/>
      <c r="E3" s="418"/>
      <c r="F3" s="418"/>
      <c r="G3" s="418"/>
      <c r="H3" s="419"/>
    </row>
    <row r="4" spans="2:22">
      <c r="B4" s="13"/>
      <c r="C4" s="14"/>
      <c r="D4" s="14"/>
      <c r="E4" s="14"/>
      <c r="F4" s="14"/>
      <c r="G4" s="14"/>
      <c r="H4" s="14"/>
      <c r="I4" s="14"/>
      <c r="J4" s="14"/>
      <c r="K4" s="14"/>
      <c r="L4" s="14"/>
      <c r="M4" s="14"/>
      <c r="N4" s="14"/>
      <c r="O4" s="14"/>
      <c r="P4" s="14"/>
      <c r="Q4" s="15"/>
    </row>
    <row r="5" spans="2:22">
      <c r="B5" s="16"/>
      <c r="C5" s="17" t="s">
        <v>997</v>
      </c>
      <c r="D5" s="18"/>
      <c r="E5" s="18"/>
      <c r="F5" s="18"/>
      <c r="G5" s="18"/>
      <c r="H5" s="18"/>
      <c r="I5" s="18"/>
      <c r="J5" s="18"/>
      <c r="K5" s="18"/>
      <c r="L5" s="18"/>
      <c r="M5" s="18"/>
      <c r="N5" s="18"/>
      <c r="O5" s="18"/>
      <c r="P5" s="18"/>
      <c r="Q5" s="19"/>
    </row>
    <row r="6" spans="2:22">
      <c r="B6" s="16"/>
      <c r="C6" s="425" t="str">
        <f>IF('3b Equip'!C6="","",'3b Equip'!C6)</f>
        <v>Zeolite for FCC</v>
      </c>
      <c r="D6" s="433"/>
      <c r="E6" s="18"/>
      <c r="F6" s="18"/>
      <c r="G6" s="18"/>
      <c r="H6" s="18"/>
      <c r="I6" s="18"/>
      <c r="J6" s="18"/>
      <c r="K6" s="18"/>
      <c r="L6" s="18"/>
      <c r="M6" s="18"/>
      <c r="N6" s="18"/>
      <c r="O6" s="18"/>
      <c r="P6" s="18"/>
      <c r="Q6" s="19"/>
    </row>
    <row r="7" spans="2:22">
      <c r="B7" s="16"/>
      <c r="C7" s="304" t="s">
        <v>998</v>
      </c>
      <c r="D7" s="18"/>
      <c r="E7" s="18"/>
      <c r="F7" s="18"/>
      <c r="G7" s="18"/>
      <c r="H7" s="18"/>
      <c r="I7" s="18"/>
      <c r="J7" s="18"/>
      <c r="K7" s="18"/>
      <c r="L7" s="18"/>
      <c r="M7" s="18"/>
      <c r="N7" s="18"/>
      <c r="O7" s="18"/>
      <c r="P7" s="18"/>
      <c r="Q7" s="19"/>
    </row>
    <row r="8" spans="2:22">
      <c r="B8" s="16"/>
      <c r="C8" s="18"/>
      <c r="D8" s="18"/>
      <c r="E8" s="18"/>
      <c r="F8" s="18"/>
      <c r="G8" s="18"/>
      <c r="H8" s="18"/>
      <c r="I8" s="18"/>
      <c r="J8" s="18"/>
      <c r="K8" s="18"/>
      <c r="L8" s="18"/>
      <c r="M8" s="18"/>
      <c r="N8" s="18"/>
      <c r="O8" s="18"/>
      <c r="P8" s="18"/>
      <c r="Q8" s="19"/>
    </row>
    <row r="9" spans="2:22">
      <c r="B9" s="16"/>
      <c r="C9" s="17" t="s">
        <v>999</v>
      </c>
      <c r="D9" s="18"/>
      <c r="E9" s="18"/>
      <c r="F9" s="18"/>
      <c r="G9" s="18"/>
      <c r="H9" s="18"/>
      <c r="I9" s="18"/>
      <c r="J9" s="18"/>
      <c r="K9" s="18"/>
      <c r="L9" s="18"/>
      <c r="M9" s="18"/>
      <c r="N9" s="18"/>
      <c r="O9" s="18"/>
      <c r="P9" s="18"/>
      <c r="Q9" s="19"/>
    </row>
    <row r="10" spans="2:22">
      <c r="B10" s="16"/>
      <c r="C10" s="18"/>
      <c r="D10" s="18"/>
      <c r="E10" s="18"/>
      <c r="F10" s="18"/>
      <c r="G10" s="18"/>
      <c r="H10" s="18"/>
      <c r="I10" s="18"/>
      <c r="J10" s="18"/>
      <c r="K10" s="18"/>
      <c r="L10" s="18"/>
      <c r="M10" s="18"/>
      <c r="N10" s="18"/>
      <c r="O10" s="18"/>
      <c r="P10" s="18"/>
      <c r="Q10" s="19"/>
    </row>
    <row r="11" spans="2:22">
      <c r="B11" s="16"/>
      <c r="C11" s="114" t="s">
        <v>380</v>
      </c>
      <c r="D11" s="122" t="str">
        <f>"Consumption per "&amp;OutMassUnit&amp;" catalyst"</f>
        <v>Consumption per lb catalyst</v>
      </c>
      <c r="E11" s="65" t="s">
        <v>40</v>
      </c>
      <c r="F11" s="65" t="s">
        <v>41</v>
      </c>
      <c r="G11" s="122" t="s">
        <v>175</v>
      </c>
      <c r="H11" s="122"/>
      <c r="I11" s="122" t="s">
        <v>422</v>
      </c>
      <c r="J11" s="65" t="s">
        <v>40</v>
      </c>
      <c r="K11" s="65" t="s">
        <v>41</v>
      </c>
      <c r="L11" s="199" t="s">
        <v>175</v>
      </c>
      <c r="M11" s="64" t="str">
        <f>"Cost ("&amp;CurrencySymbol&amp;"/"&amp;OutMassUnit&amp;" catalyst)"</f>
        <v>Cost ($/lb catalyst)</v>
      </c>
      <c r="N11" s="64" t="str">
        <f>"Cost ("&amp;CurrencySymbol&amp;"/year)"</f>
        <v>Cost ($/year)</v>
      </c>
      <c r="O11" s="64"/>
      <c r="P11" s="64"/>
      <c r="Q11" s="19"/>
    </row>
    <row r="12" spans="2:22">
      <c r="B12" s="16"/>
      <c r="C12" s="116" t="s">
        <v>381</v>
      </c>
      <c r="D12" s="18">
        <f t="shared" ref="D12:F17" ca="1" si="0">IFERROR(IF(ISBLANK(OFFSET(INDEX($C$21:$C$986,MATCH($C$6,$C$21:$C$986,0)),ROW()-ROW($C$9),COLUMN()-COLUMN($C$9))),"",OFFSET(INDEX($C$21:$C$986,MATCH($C$6,$C$21:$C$986,0)),ROW()-ROW($C$9),COLUMN()-COLUMN($C$9))),"")</f>
        <v>0.11622047244094488</v>
      </c>
      <c r="E12" s="18" t="str">
        <f t="shared" ca="1" si="0"/>
        <v/>
      </c>
      <c r="F12" s="18" t="str">
        <f t="shared" ca="1" si="0"/>
        <v/>
      </c>
      <c r="G12" s="116" t="s">
        <v>405</v>
      </c>
      <c r="H12" s="116"/>
      <c r="I12" s="120">
        <v>0.14000000000000001</v>
      </c>
      <c r="J12" s="72">
        <v>0.12</v>
      </c>
      <c r="K12" s="72">
        <v>0.2</v>
      </c>
      <c r="L12" s="107" t="str">
        <f t="shared" ref="L12:L17" si="1">CurrencySymbol&amp;"/"&amp;G12</f>
        <v>$/kgal</v>
      </c>
      <c r="M12" s="198">
        <f ca="1">IFERROR(D12*I12,0)</f>
        <v>1.6270866141732284E-2</v>
      </c>
      <c r="N12" s="117">
        <f t="shared" ref="N12:N17" ca="1" si="2">IFERROR(M12*ActualProduction,"")</f>
        <v>1627086.6141732284</v>
      </c>
      <c r="O12" s="117"/>
      <c r="P12" s="42" t="s">
        <v>162</v>
      </c>
      <c r="Q12" s="19"/>
    </row>
    <row r="13" spans="2:22">
      <c r="B13" s="16"/>
      <c r="C13" s="116" t="s">
        <v>382</v>
      </c>
      <c r="D13" s="18">
        <f t="shared" ca="1" si="0"/>
        <v>0</v>
      </c>
      <c r="E13" s="18" t="str">
        <f t="shared" ca="1" si="0"/>
        <v/>
      </c>
      <c r="F13" s="18" t="str">
        <f t="shared" ca="1" si="0"/>
        <v/>
      </c>
      <c r="G13" s="116" t="s">
        <v>405</v>
      </c>
      <c r="H13" s="116"/>
      <c r="I13" s="120">
        <v>1.3</v>
      </c>
      <c r="J13" s="72"/>
      <c r="K13" s="72"/>
      <c r="L13" s="107" t="str">
        <f t="shared" si="1"/>
        <v>$/kgal</v>
      </c>
      <c r="M13" s="198">
        <f t="shared" ref="M13:M17" ca="1" si="3">IFERROR(D13*I13,0)</f>
        <v>0</v>
      </c>
      <c r="N13" s="117">
        <f t="shared" ca="1" si="2"/>
        <v>0</v>
      </c>
      <c r="O13" s="117"/>
      <c r="P13" s="117"/>
      <c r="Q13" s="19"/>
    </row>
    <row r="14" spans="2:22">
      <c r="B14" s="16"/>
      <c r="C14" s="116" t="s">
        <v>383</v>
      </c>
      <c r="D14" s="18">
        <f t="shared" ca="1" si="0"/>
        <v>1.5748031496062992E-3</v>
      </c>
      <c r="E14" s="18" t="str">
        <f t="shared" ca="1" si="0"/>
        <v/>
      </c>
      <c r="F14" s="18" t="str">
        <f t="shared" ca="1" si="0"/>
        <v/>
      </c>
      <c r="G14" s="116" t="s">
        <v>406</v>
      </c>
      <c r="H14" s="116"/>
      <c r="I14" s="120">
        <v>5</v>
      </c>
      <c r="J14" s="72">
        <v>4</v>
      </c>
      <c r="K14" s="72">
        <v>7</v>
      </c>
      <c r="L14" s="107" t="str">
        <f t="shared" si="1"/>
        <v>$/ton</v>
      </c>
      <c r="M14" s="198">
        <f t="shared" ca="1" si="3"/>
        <v>7.874015748031496E-3</v>
      </c>
      <c r="N14" s="117">
        <f t="shared" ca="1" si="2"/>
        <v>787401.57480314956</v>
      </c>
      <c r="O14" s="117"/>
      <c r="P14" s="117"/>
      <c r="Q14" s="19"/>
    </row>
    <row r="15" spans="2:22">
      <c r="B15" s="16"/>
      <c r="C15" s="116" t="s">
        <v>384</v>
      </c>
      <c r="D15" s="18">
        <f t="shared" ca="1" si="0"/>
        <v>0</v>
      </c>
      <c r="E15" s="18" t="str">
        <f t="shared" ca="1" si="0"/>
        <v/>
      </c>
      <c r="F15" s="18" t="str">
        <f t="shared" ca="1" si="0"/>
        <v/>
      </c>
      <c r="G15" s="116" t="s">
        <v>406</v>
      </c>
      <c r="H15" s="116"/>
      <c r="I15" s="120">
        <v>5.7</v>
      </c>
      <c r="J15" s="72"/>
      <c r="K15" s="72"/>
      <c r="L15" s="107" t="str">
        <f t="shared" si="1"/>
        <v>$/ton</v>
      </c>
      <c r="M15" s="198">
        <f t="shared" ca="1" si="3"/>
        <v>0</v>
      </c>
      <c r="N15" s="117">
        <f t="shared" ca="1" si="2"/>
        <v>0</v>
      </c>
      <c r="O15" s="117"/>
      <c r="P15" s="117"/>
      <c r="Q15" s="19"/>
    </row>
    <row r="16" spans="2:22">
      <c r="B16" s="16"/>
      <c r="C16" s="116" t="s">
        <v>385</v>
      </c>
      <c r="D16" s="18">
        <f t="shared" ca="1" si="0"/>
        <v>0.17</v>
      </c>
      <c r="E16" s="18" t="str">
        <f t="shared" ca="1" si="0"/>
        <v/>
      </c>
      <c r="F16" s="18" t="str">
        <f t="shared" ca="1" si="0"/>
        <v/>
      </c>
      <c r="G16" s="116" t="s">
        <v>407</v>
      </c>
      <c r="H16" s="116"/>
      <c r="I16" s="120">
        <v>5.5E-2</v>
      </c>
      <c r="J16" s="72">
        <v>0.04</v>
      </c>
      <c r="K16" s="72">
        <v>0.12</v>
      </c>
      <c r="L16" s="107" t="str">
        <f t="shared" si="1"/>
        <v>$/kWh</v>
      </c>
      <c r="M16" s="198">
        <f t="shared" ca="1" si="3"/>
        <v>9.3500000000000007E-3</v>
      </c>
      <c r="N16" s="117">
        <f t="shared" ca="1" si="2"/>
        <v>935000.00000000012</v>
      </c>
      <c r="O16" s="117"/>
      <c r="P16" s="117"/>
      <c r="Q16" s="19"/>
    </row>
    <row r="17" spans="2:17">
      <c r="B17" s="16"/>
      <c r="C17" s="116" t="s">
        <v>386</v>
      </c>
      <c r="D17" s="18">
        <f t="shared" ca="1" si="0"/>
        <v>5.905511811023622E-3</v>
      </c>
      <c r="E17" s="18" t="str">
        <f t="shared" ca="1" si="0"/>
        <v/>
      </c>
      <c r="F17" s="18" t="str">
        <f t="shared" ca="1" si="0"/>
        <v/>
      </c>
      <c r="G17" s="116" t="s">
        <v>408</v>
      </c>
      <c r="H17" s="116"/>
      <c r="I17" s="120">
        <v>3</v>
      </c>
      <c r="J17" s="72">
        <v>2</v>
      </c>
      <c r="K17" s="72">
        <v>5</v>
      </c>
      <c r="L17" s="107" t="str">
        <f t="shared" si="1"/>
        <v>$/MMBtu</v>
      </c>
      <c r="M17" s="198">
        <f t="shared" ca="1" si="3"/>
        <v>1.7716535433070866E-2</v>
      </c>
      <c r="N17" s="117">
        <f t="shared" ca="1" si="2"/>
        <v>1771653.5433070867</v>
      </c>
      <c r="O17" s="117"/>
      <c r="P17" s="117"/>
      <c r="Q17" s="19"/>
    </row>
    <row r="18" spans="2:17">
      <c r="B18" s="16"/>
      <c r="C18" s="18"/>
      <c r="D18" s="18"/>
      <c r="E18" s="18"/>
      <c r="F18" s="18"/>
      <c r="G18" s="18"/>
      <c r="H18" s="18"/>
      <c r="I18" s="18"/>
      <c r="J18" s="18"/>
      <c r="K18" s="18"/>
      <c r="L18" s="18"/>
      <c r="M18" s="18"/>
      <c r="N18" s="18"/>
      <c r="O18" s="18"/>
      <c r="P18" s="18"/>
      <c r="Q18" s="19"/>
    </row>
    <row r="19" spans="2:17">
      <c r="B19" s="16"/>
      <c r="C19" s="42" t="s">
        <v>162</v>
      </c>
      <c r="D19" s="18"/>
      <c r="E19" s="18"/>
      <c r="F19" s="18"/>
      <c r="G19" s="18"/>
      <c r="H19" s="18"/>
      <c r="I19" s="18"/>
      <c r="J19" s="18"/>
      <c r="K19" s="18"/>
      <c r="L19" s="18"/>
      <c r="M19" s="20" t="str">
        <f>"Cost ("&amp;CurrencySymbol&amp;"/"&amp;OutMassUnit&amp;" catalyst)"</f>
        <v>Cost ($/lb catalyst)</v>
      </c>
      <c r="N19" s="20" t="str">
        <f>"Cost ("&amp;CurrencySymbol&amp;"/year)"</f>
        <v>Cost ($/year)</v>
      </c>
      <c r="O19" s="20"/>
      <c r="P19" s="20"/>
      <c r="Q19" s="19"/>
    </row>
    <row r="20" spans="2:17">
      <c r="B20" s="16"/>
      <c r="C20" s="18"/>
      <c r="D20" s="18"/>
      <c r="E20" s="18"/>
      <c r="F20" s="18"/>
      <c r="G20" s="18"/>
      <c r="H20" s="18"/>
      <c r="I20" s="20" t="s">
        <v>359</v>
      </c>
      <c r="J20" s="18"/>
      <c r="K20" s="18"/>
      <c r="L20" s="18"/>
      <c r="M20" s="118">
        <f ca="1">SUM(M12:M17)</f>
        <v>5.1211417322834643E-2</v>
      </c>
      <c r="N20" s="117">
        <f ca="1">M20*ActualProduction</f>
        <v>5121141.7322834646</v>
      </c>
      <c r="O20" s="117"/>
      <c r="P20" s="117"/>
      <c r="Q20" s="19"/>
    </row>
    <row r="21" spans="2:17" ht="17" thickBot="1">
      <c r="B21" s="21"/>
      <c r="C21" s="22"/>
      <c r="D21" s="22"/>
      <c r="E21" s="22"/>
      <c r="F21" s="22"/>
      <c r="G21" s="22"/>
      <c r="H21" s="22"/>
      <c r="I21" s="22"/>
      <c r="J21" s="22"/>
      <c r="K21" s="22"/>
      <c r="L21" s="22"/>
      <c r="M21" s="22"/>
      <c r="N21" s="22"/>
      <c r="O21" s="22"/>
      <c r="P21" s="22"/>
      <c r="Q21" s="23"/>
    </row>
    <row r="22" spans="2:17" ht="17" thickBot="1"/>
    <row r="23" spans="2:17" ht="21" thickBot="1">
      <c r="B23" s="417" t="s">
        <v>1000</v>
      </c>
      <c r="C23" s="418"/>
      <c r="D23" s="419"/>
    </row>
    <row r="24" spans="2:17">
      <c r="B24" s="13"/>
      <c r="C24" s="14"/>
      <c r="D24" s="14"/>
      <c r="E24" s="14"/>
      <c r="F24" s="14"/>
      <c r="G24" s="14"/>
      <c r="H24" s="15"/>
    </row>
    <row r="25" spans="2:17">
      <c r="B25" s="16"/>
      <c r="C25" s="277" t="s">
        <v>1005</v>
      </c>
      <c r="D25" s="10"/>
      <c r="E25" s="10"/>
      <c r="F25" s="10"/>
      <c r="G25" s="10"/>
      <c r="H25" s="19"/>
    </row>
    <row r="26" spans="2:17">
      <c r="B26" s="16"/>
      <c r="C26" s="10"/>
      <c r="D26" s="10"/>
      <c r="E26" s="10"/>
      <c r="F26" s="10"/>
      <c r="G26" s="10"/>
      <c r="H26" s="19"/>
    </row>
    <row r="27" spans="2:17">
      <c r="B27" s="16"/>
      <c r="C27" s="114" t="s">
        <v>380</v>
      </c>
      <c r="D27" s="122" t="str">
        <f>"Consumption per "&amp;OutMassUnit&amp;" catalyst"</f>
        <v>Consumption per lb catalyst</v>
      </c>
      <c r="E27" s="65" t="s">
        <v>40</v>
      </c>
      <c r="F27" s="65" t="s">
        <v>41</v>
      </c>
      <c r="G27" s="122" t="s">
        <v>175</v>
      </c>
      <c r="H27" s="19"/>
    </row>
    <row r="28" spans="2:17">
      <c r="B28" s="16"/>
      <c r="C28" s="116" t="s">
        <v>381</v>
      </c>
      <c r="D28" s="120"/>
      <c r="E28" s="72"/>
      <c r="F28" s="72"/>
      <c r="G28" s="119" t="s">
        <v>405</v>
      </c>
      <c r="H28" s="19"/>
    </row>
    <row r="29" spans="2:17">
      <c r="B29" s="16"/>
      <c r="C29" s="116" t="s">
        <v>382</v>
      </c>
      <c r="D29" s="120"/>
      <c r="E29" s="72"/>
      <c r="F29" s="72"/>
      <c r="G29" s="119" t="s">
        <v>405</v>
      </c>
      <c r="H29" s="19"/>
    </row>
    <row r="30" spans="2:17">
      <c r="B30" s="16"/>
      <c r="C30" s="116" t="s">
        <v>383</v>
      </c>
      <c r="D30" s="120"/>
      <c r="E30" s="72"/>
      <c r="F30" s="72"/>
      <c r="G30" s="119" t="s">
        <v>406</v>
      </c>
      <c r="H30" s="19"/>
    </row>
    <row r="31" spans="2:17">
      <c r="B31" s="16"/>
      <c r="C31" s="116" t="s">
        <v>384</v>
      </c>
      <c r="D31" s="120"/>
      <c r="E31" s="72"/>
      <c r="F31" s="72"/>
      <c r="G31" s="119" t="s">
        <v>406</v>
      </c>
      <c r="H31" s="19"/>
    </row>
    <row r="32" spans="2:17">
      <c r="B32" s="16"/>
      <c r="C32" s="116" t="s">
        <v>385</v>
      </c>
      <c r="D32" s="120"/>
      <c r="E32" s="72"/>
      <c r="F32" s="72"/>
      <c r="G32" s="119" t="s">
        <v>407</v>
      </c>
      <c r="H32" s="19"/>
    </row>
    <row r="33" spans="2:8">
      <c r="B33" s="16"/>
      <c r="C33" s="116" t="s">
        <v>386</v>
      </c>
      <c r="D33" s="120"/>
      <c r="E33" s="72"/>
      <c r="F33" s="72"/>
      <c r="G33" s="119" t="s">
        <v>408</v>
      </c>
      <c r="H33" s="19"/>
    </row>
    <row r="34" spans="2:8" ht="17" thickBot="1">
      <c r="B34" s="21"/>
      <c r="C34" s="22"/>
      <c r="D34" s="22"/>
      <c r="E34" s="22"/>
      <c r="F34" s="22"/>
      <c r="G34" s="22"/>
      <c r="H34" s="23"/>
    </row>
    <row r="35" spans="2:8">
      <c r="B35" s="16"/>
      <c r="C35" s="10"/>
      <c r="D35" s="10"/>
      <c r="E35" s="10"/>
      <c r="F35" s="10"/>
      <c r="G35" s="10"/>
      <c r="H35" s="19"/>
    </row>
    <row r="36" spans="2:8">
      <c r="B36" s="16"/>
      <c r="C36" s="277" t="s">
        <v>1002</v>
      </c>
      <c r="D36" s="10"/>
      <c r="E36" s="10"/>
      <c r="F36" s="10"/>
      <c r="G36" s="10"/>
      <c r="H36" s="19"/>
    </row>
    <row r="37" spans="2:8">
      <c r="B37" s="16"/>
      <c r="C37" s="10"/>
      <c r="D37" s="10"/>
      <c r="E37" s="10"/>
      <c r="F37" s="10"/>
      <c r="G37" s="10"/>
      <c r="H37" s="19"/>
    </row>
    <row r="38" spans="2:8">
      <c r="B38" s="16"/>
      <c r="C38" s="114" t="s">
        <v>380</v>
      </c>
      <c r="D38" s="122" t="str">
        <f>"Consumption per "&amp;OutMassUnit&amp;" catalyst"</f>
        <v>Consumption per lb catalyst</v>
      </c>
      <c r="E38" s="65" t="s">
        <v>40</v>
      </c>
      <c r="F38" s="65" t="s">
        <v>41</v>
      </c>
      <c r="G38" s="122" t="s">
        <v>175</v>
      </c>
      <c r="H38" s="19"/>
    </row>
    <row r="39" spans="2:8">
      <c r="B39" s="16"/>
      <c r="C39" s="116" t="s">
        <v>381</v>
      </c>
      <c r="D39" s="120">
        <v>2.2977479460207614E-4</v>
      </c>
      <c r="E39" s="72"/>
      <c r="F39" s="72"/>
      <c r="G39" s="119" t="s">
        <v>405</v>
      </c>
      <c r="H39" s="19"/>
    </row>
    <row r="40" spans="2:8">
      <c r="B40" s="16"/>
      <c r="C40" s="116" t="s">
        <v>382</v>
      </c>
      <c r="D40" s="120">
        <v>3.4466219190311422E-6</v>
      </c>
      <c r="E40" s="72"/>
      <c r="F40" s="72"/>
      <c r="G40" s="119" t="s">
        <v>405</v>
      </c>
      <c r="H40" s="19"/>
    </row>
    <row r="41" spans="2:8">
      <c r="B41" s="16"/>
      <c r="C41" s="116" t="s">
        <v>383</v>
      </c>
      <c r="D41" s="120">
        <v>1.4978024554953857E-4</v>
      </c>
      <c r="E41" s="72"/>
      <c r="F41" s="72"/>
      <c r="G41" s="119" t="s">
        <v>406</v>
      </c>
      <c r="H41" s="19"/>
    </row>
    <row r="42" spans="2:8">
      <c r="B42" s="16"/>
      <c r="C42" s="116" t="s">
        <v>384</v>
      </c>
      <c r="D42" s="120">
        <v>7.4413705145790214E-4</v>
      </c>
      <c r="E42" s="72"/>
      <c r="F42" s="72"/>
      <c r="G42" s="119" t="s">
        <v>406</v>
      </c>
      <c r="H42" s="19"/>
    </row>
    <row r="43" spans="2:8">
      <c r="B43" s="16"/>
      <c r="C43" s="116" t="s">
        <v>385</v>
      </c>
      <c r="D43" s="120">
        <v>0.47435653979238757</v>
      </c>
      <c r="E43" s="72"/>
      <c r="F43" s="72"/>
      <c r="G43" s="119" t="s">
        <v>407</v>
      </c>
      <c r="H43" s="19"/>
    </row>
    <row r="44" spans="2:8">
      <c r="B44" s="16"/>
      <c r="C44" s="116" t="s">
        <v>386</v>
      </c>
      <c r="D44" s="120">
        <v>5.0157098101038071E-3</v>
      </c>
      <c r="E44" s="72"/>
      <c r="F44" s="72"/>
      <c r="G44" s="119" t="s">
        <v>408</v>
      </c>
      <c r="H44" s="19"/>
    </row>
    <row r="45" spans="2:8" ht="17" thickBot="1">
      <c r="B45" s="21"/>
      <c r="C45" s="22"/>
      <c r="D45" s="22"/>
      <c r="E45" s="22"/>
      <c r="F45" s="22"/>
      <c r="G45" s="22"/>
      <c r="H45" s="23"/>
    </row>
    <row r="46" spans="2:8">
      <c r="B46" s="16"/>
      <c r="C46" s="10"/>
      <c r="D46" s="10"/>
      <c r="E46" s="10"/>
      <c r="F46" s="10"/>
      <c r="G46" s="10"/>
      <c r="H46" s="19"/>
    </row>
    <row r="47" spans="2:8">
      <c r="B47" s="16"/>
      <c r="C47" s="277" t="s">
        <v>1008</v>
      </c>
      <c r="D47" s="10"/>
      <c r="E47" s="10"/>
      <c r="F47" s="10"/>
      <c r="G47" s="10"/>
      <c r="H47" s="19"/>
    </row>
    <row r="48" spans="2:8">
      <c r="B48" s="16"/>
      <c r="C48" s="10"/>
      <c r="D48" s="10"/>
      <c r="E48" s="10"/>
      <c r="F48" s="10"/>
      <c r="G48" s="10"/>
      <c r="H48" s="19"/>
    </row>
    <row r="49" spans="2:8">
      <c r="B49" s="16"/>
      <c r="C49" s="114" t="s">
        <v>380</v>
      </c>
      <c r="D49" s="122" t="str">
        <f>"Consumption per "&amp;OutMassUnit&amp;" catalyst"</f>
        <v>Consumption per lb catalyst</v>
      </c>
      <c r="E49" s="65" t="s">
        <v>40</v>
      </c>
      <c r="F49" s="65" t="s">
        <v>41</v>
      </c>
      <c r="G49" s="122" t="s">
        <v>175</v>
      </c>
      <c r="H49" s="19"/>
    </row>
    <row r="50" spans="2:8">
      <c r="B50" s="16"/>
      <c r="C50" s="116" t="s">
        <v>381</v>
      </c>
      <c r="D50" s="120">
        <v>0</v>
      </c>
      <c r="E50" s="72"/>
      <c r="F50" s="72"/>
      <c r="G50" s="119" t="s">
        <v>405</v>
      </c>
      <c r="H50" s="19"/>
    </row>
    <row r="51" spans="2:8">
      <c r="B51" s="16"/>
      <c r="C51" s="116" t="s">
        <v>382</v>
      </c>
      <c r="D51" s="120">
        <v>0</v>
      </c>
      <c r="E51" s="72"/>
      <c r="F51" s="72"/>
      <c r="G51" s="119" t="s">
        <v>405</v>
      </c>
      <c r="H51" s="19"/>
    </row>
    <row r="52" spans="2:8">
      <c r="B52" s="16"/>
      <c r="C52" s="116" t="s">
        <v>383</v>
      </c>
      <c r="D52" s="120">
        <v>0</v>
      </c>
      <c r="E52" s="72"/>
      <c r="F52" s="72"/>
      <c r="G52" s="119" t="s">
        <v>406</v>
      </c>
      <c r="H52" s="19"/>
    </row>
    <row r="53" spans="2:8">
      <c r="B53" s="16"/>
      <c r="C53" s="116" t="s">
        <v>384</v>
      </c>
      <c r="D53" s="120">
        <v>0</v>
      </c>
      <c r="E53" s="72"/>
      <c r="F53" s="72"/>
      <c r="G53" s="119" t="s">
        <v>406</v>
      </c>
      <c r="H53" s="19"/>
    </row>
    <row r="54" spans="2:8">
      <c r="B54" s="16"/>
      <c r="C54" s="116" t="s">
        <v>385</v>
      </c>
      <c r="D54" s="120">
        <v>0.26</v>
      </c>
      <c r="E54" s="72"/>
      <c r="F54" s="72"/>
      <c r="G54" s="119" t="s">
        <v>407</v>
      </c>
      <c r="H54" s="19"/>
    </row>
    <row r="55" spans="2:8">
      <c r="B55" s="16"/>
      <c r="C55" s="116" t="s">
        <v>386</v>
      </c>
      <c r="D55" s="120">
        <v>0</v>
      </c>
      <c r="E55" s="72"/>
      <c r="F55" s="72"/>
      <c r="G55" s="119" t="s">
        <v>408</v>
      </c>
      <c r="H55" s="19"/>
    </row>
    <row r="56" spans="2:8" ht="17" thickBot="1">
      <c r="B56" s="21"/>
      <c r="C56" s="22"/>
      <c r="D56" s="22"/>
      <c r="E56" s="22"/>
      <c r="F56" s="22"/>
      <c r="G56" s="22"/>
      <c r="H56" s="23"/>
    </row>
    <row r="57" spans="2:8">
      <c r="B57" s="16"/>
      <c r="C57" s="10"/>
      <c r="D57" s="10"/>
      <c r="E57" s="10"/>
      <c r="F57" s="10"/>
      <c r="G57" s="10"/>
      <c r="H57" s="19"/>
    </row>
    <row r="58" spans="2:8">
      <c r="B58" s="16"/>
      <c r="C58" s="277" t="s">
        <v>1009</v>
      </c>
      <c r="D58" s="10"/>
      <c r="E58" s="10"/>
      <c r="F58" s="10"/>
      <c r="G58" s="10"/>
      <c r="H58" s="19"/>
    </row>
    <row r="59" spans="2:8">
      <c r="B59" s="16"/>
      <c r="C59" s="10"/>
      <c r="D59" s="10"/>
      <c r="E59" s="10"/>
      <c r="F59" s="10"/>
      <c r="G59" s="10"/>
      <c r="H59" s="19"/>
    </row>
    <row r="60" spans="2:8">
      <c r="B60" s="16"/>
      <c r="C60" s="114" t="s">
        <v>380</v>
      </c>
      <c r="D60" s="122" t="str">
        <f>"Consumption per "&amp;OutMassUnit&amp;" catalyst"</f>
        <v>Consumption per lb catalyst</v>
      </c>
      <c r="E60" s="65" t="s">
        <v>40</v>
      </c>
      <c r="F60" s="65" t="s">
        <v>41</v>
      </c>
      <c r="G60" s="122" t="s">
        <v>175</v>
      </c>
      <c r="H60" s="19"/>
    </row>
    <row r="61" spans="2:8">
      <c r="B61" s="16"/>
      <c r="C61" s="116" t="s">
        <v>381</v>
      </c>
      <c r="D61" s="120">
        <v>1.4318305217993082E-3</v>
      </c>
      <c r="E61" s="72"/>
      <c r="F61" s="72"/>
      <c r="G61" s="119" t="s">
        <v>405</v>
      </c>
      <c r="H61" s="19"/>
    </row>
    <row r="62" spans="2:8">
      <c r="B62" s="16"/>
      <c r="C62" s="116" t="s">
        <v>382</v>
      </c>
      <c r="D62" s="120">
        <v>2.1477457826989625E-5</v>
      </c>
      <c r="E62" s="72"/>
      <c r="F62" s="72"/>
      <c r="G62" s="119" t="s">
        <v>405</v>
      </c>
      <c r="H62" s="19"/>
    </row>
    <row r="63" spans="2:8">
      <c r="B63" s="16"/>
      <c r="C63" s="116" t="s">
        <v>383</v>
      </c>
      <c r="D63" s="120">
        <v>7.8214835239608701E-4</v>
      </c>
      <c r="E63" s="72"/>
      <c r="F63" s="72"/>
      <c r="G63" s="119" t="s">
        <v>406</v>
      </c>
      <c r="H63" s="19"/>
    </row>
    <row r="64" spans="2:8">
      <c r="B64" s="16"/>
      <c r="C64" s="116" t="s">
        <v>384</v>
      </c>
      <c r="D64" s="120">
        <v>3.8858633634846094E-3</v>
      </c>
      <c r="E64" s="72"/>
      <c r="F64" s="72"/>
      <c r="G64" s="119" t="s">
        <v>406</v>
      </c>
      <c r="H64" s="19"/>
    </row>
    <row r="65" spans="2:8">
      <c r="B65" s="16"/>
      <c r="C65" s="116" t="s">
        <v>385</v>
      </c>
      <c r="D65" s="120">
        <v>7.2965093425605536</v>
      </c>
      <c r="E65" s="72"/>
      <c r="F65" s="72"/>
      <c r="G65" s="119" t="s">
        <v>407</v>
      </c>
      <c r="H65" s="19"/>
    </row>
    <row r="66" spans="2:8">
      <c r="B66" s="16"/>
      <c r="C66" s="116" t="s">
        <v>386</v>
      </c>
      <c r="D66" s="120">
        <v>2.6191899670588228E-2</v>
      </c>
      <c r="E66" s="72"/>
      <c r="F66" s="72"/>
      <c r="G66" s="119" t="s">
        <v>408</v>
      </c>
      <c r="H66" s="19"/>
    </row>
    <row r="67" spans="2:8" ht="17" thickBot="1">
      <c r="B67" s="21"/>
      <c r="C67" s="22"/>
      <c r="D67" s="22"/>
      <c r="E67" s="22"/>
      <c r="F67" s="22"/>
      <c r="G67" s="22"/>
      <c r="H67" s="23"/>
    </row>
    <row r="68" spans="2:8">
      <c r="B68" s="16"/>
      <c r="C68" s="10"/>
      <c r="D68" s="10"/>
      <c r="E68" s="10"/>
      <c r="F68" s="10"/>
      <c r="G68" s="10"/>
      <c r="H68" s="19"/>
    </row>
    <row r="69" spans="2:8">
      <c r="B69" s="16"/>
      <c r="C69" s="277" t="s">
        <v>1001</v>
      </c>
      <c r="D69" s="10"/>
      <c r="E69" s="10"/>
      <c r="F69" s="10"/>
      <c r="G69" s="10"/>
      <c r="H69" s="19"/>
    </row>
    <row r="70" spans="2:8">
      <c r="B70" s="16"/>
      <c r="C70" s="10"/>
      <c r="D70" s="10"/>
      <c r="E70" s="10"/>
      <c r="F70" s="10"/>
      <c r="G70" s="10"/>
      <c r="H70" s="19"/>
    </row>
    <row r="71" spans="2:8">
      <c r="B71" s="16"/>
      <c r="C71" s="114" t="s">
        <v>380</v>
      </c>
      <c r="D71" s="122" t="str">
        <f>"Consumption per "&amp;OutMassUnit&amp;" catalyst"</f>
        <v>Consumption per lb catalyst</v>
      </c>
      <c r="E71" s="65" t="s">
        <v>40</v>
      </c>
      <c r="F71" s="65" t="s">
        <v>41</v>
      </c>
      <c r="G71" s="122" t="s">
        <v>175</v>
      </c>
      <c r="H71" s="19"/>
    </row>
    <row r="72" spans="2:8">
      <c r="B72" s="16"/>
      <c r="C72" s="116" t="s">
        <v>381</v>
      </c>
      <c r="D72" s="120">
        <v>0.11622047244094488</v>
      </c>
      <c r="E72" s="72"/>
      <c r="F72" s="72"/>
      <c r="G72" s="119" t="s">
        <v>405</v>
      </c>
      <c r="H72" s="19"/>
    </row>
    <row r="73" spans="2:8">
      <c r="B73" s="16"/>
      <c r="C73" s="116" t="s">
        <v>382</v>
      </c>
      <c r="D73" s="120">
        <v>0</v>
      </c>
      <c r="E73" s="72"/>
      <c r="F73" s="72"/>
      <c r="G73" s="119" t="s">
        <v>405</v>
      </c>
      <c r="H73" s="19"/>
    </row>
    <row r="74" spans="2:8">
      <c r="B74" s="16"/>
      <c r="C74" s="116" t="s">
        <v>383</v>
      </c>
      <c r="D74" s="120">
        <v>1.5748031496062992E-3</v>
      </c>
      <c r="E74" s="72"/>
      <c r="F74" s="72"/>
      <c r="G74" s="119" t="s">
        <v>406</v>
      </c>
      <c r="H74" s="19"/>
    </row>
    <row r="75" spans="2:8">
      <c r="B75" s="16"/>
      <c r="C75" s="116" t="s">
        <v>384</v>
      </c>
      <c r="D75" s="120">
        <v>0</v>
      </c>
      <c r="E75" s="72"/>
      <c r="F75" s="72"/>
      <c r="G75" s="119" t="s">
        <v>406</v>
      </c>
      <c r="H75" s="19"/>
    </row>
    <row r="76" spans="2:8">
      <c r="B76" s="16"/>
      <c r="C76" s="116" t="s">
        <v>385</v>
      </c>
      <c r="D76" s="120">
        <v>0.17</v>
      </c>
      <c r="E76" s="72"/>
      <c r="F76" s="72"/>
      <c r="G76" s="119" t="s">
        <v>407</v>
      </c>
      <c r="H76" s="19"/>
    </row>
    <row r="77" spans="2:8">
      <c r="B77" s="16"/>
      <c r="C77" s="116" t="s">
        <v>386</v>
      </c>
      <c r="D77" s="120">
        <v>5.905511811023622E-3</v>
      </c>
      <c r="E77" s="72"/>
      <c r="F77" s="72"/>
      <c r="G77" s="119" t="s">
        <v>408</v>
      </c>
      <c r="H77" s="19"/>
    </row>
    <row r="78" spans="2:8" ht="17" thickBot="1">
      <c r="B78" s="21"/>
      <c r="C78" s="22"/>
      <c r="D78" s="22"/>
      <c r="E78" s="22"/>
      <c r="F78" s="22"/>
      <c r="G78" s="22"/>
      <c r="H78" s="23"/>
    </row>
  </sheetData>
  <mergeCells count="3">
    <mergeCell ref="B23:D23"/>
    <mergeCell ref="C6:D6"/>
    <mergeCell ref="B3:H3"/>
  </mergeCells>
  <conditionalFormatting sqref="I12:I17">
    <cfRule type="containsBlanks" dxfId="123" priority="9">
      <formula>LEN(TRIM(I12))=0</formula>
    </cfRule>
  </conditionalFormatting>
  <conditionalFormatting sqref="D28:D33">
    <cfRule type="containsBlanks" dxfId="122" priority="8">
      <formula>LEN(TRIM(D28))=0</formula>
    </cfRule>
  </conditionalFormatting>
  <conditionalFormatting sqref="D50:D55">
    <cfRule type="containsBlanks" dxfId="121" priority="7">
      <formula>LEN(TRIM(D50))=0</formula>
    </cfRule>
  </conditionalFormatting>
  <conditionalFormatting sqref="D39:D44">
    <cfRule type="containsBlanks" dxfId="120" priority="6">
      <formula>LEN(TRIM(D39))=0</formula>
    </cfRule>
  </conditionalFormatting>
  <conditionalFormatting sqref="D61:D66">
    <cfRule type="containsBlanks" dxfId="119" priority="5">
      <formula>LEN(TRIM(D61))=0</formula>
    </cfRule>
  </conditionalFormatting>
  <conditionalFormatting sqref="D72:D77">
    <cfRule type="containsBlanks" dxfId="118" priority="4">
      <formula>LEN(TRIM(D72))=0</formula>
    </cfRule>
  </conditionalFormatting>
  <conditionalFormatting sqref="C6:D6">
    <cfRule type="containsBlanks" dxfId="117" priority="10">
      <formula>LEN(TRIM(C6))=0</formula>
    </cfRule>
  </conditionalFormatting>
  <dataValidations count="1">
    <dataValidation type="list" allowBlank="1" showInputMessage="1" showErrorMessage="1" sqref="C6:D6" xr:uid="{83DFA91F-0B54-4C44-8798-7C286721C2BF}">
      <formula1>"Custom Process,Metal Carbide on Metal Oxide,Nanoparticles - Flow Synthesis,Wet Impregnation - Metal on Metal Oxide,Zeolite for FCC"</formula1>
    </dataValidation>
  </dataValidations>
  <pageMargins left="0.75" right="0.75" top="1" bottom="1" header="0.5" footer="0.5"/>
  <pageSetup orientation="portrait" horizontalDpi="4294967292" verticalDpi="4294967292"/>
  <ignoredErrors>
    <ignoredError sqref="A1:XFD5 A15:I15 A12:H13 J13:XFD13 A18:XFD45 A16:H17 L17:XFD17 A7:XFD11 A6:B6 E6:XFD6 A46:XFD71 A78:XFD1048576 A72:C77 E72:XFD77 L12:XFD12 A14:I14 L14:XFD14 L15:XFD15 L16:XFD16" emptyCellReference="1"/>
  </ignoredErrors>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B1:U31"/>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3" style="11" customWidth="1"/>
    <col min="4" max="4" width="11" style="11"/>
    <col min="5" max="5" width="12.33203125" style="11" customWidth="1" outlineLevel="1"/>
    <col min="6" max="6" width="12.6640625" style="11" customWidth="1" outlineLevel="1"/>
    <col min="7" max="7" width="27" style="11" bestFit="1" customWidth="1"/>
    <col min="8" max="8" width="16.5" style="11" bestFit="1" customWidth="1"/>
    <col min="9" max="9" width="2.5" style="11" customWidth="1"/>
    <col min="10" max="10" width="4.83203125" style="11" customWidth="1"/>
    <col min="11" max="11" width="2.5" style="11" customWidth="1"/>
    <col min="12" max="16384" width="11" style="11"/>
  </cols>
  <sheetData>
    <row r="1" spans="2:21" s="10" customFormat="1" ht="24" customHeight="1">
      <c r="B1" s="108" t="str">
        <f>"CatCost v"&amp;Version&amp;": "&amp;EstimateName</f>
        <v>CatCost v1.0.0: FCC RE USY</v>
      </c>
      <c r="G1" s="109" t="s">
        <v>44</v>
      </c>
      <c r="K1" s="110"/>
      <c r="L1" s="110"/>
      <c r="M1" s="110"/>
      <c r="N1" s="110"/>
      <c r="O1" s="110"/>
      <c r="P1" s="110"/>
      <c r="Q1" s="110"/>
      <c r="R1" s="110"/>
      <c r="S1" s="110"/>
      <c r="T1" s="109"/>
      <c r="U1" s="110"/>
    </row>
    <row r="2" spans="2:21" ht="17" thickBot="1"/>
    <row r="3" spans="2:21" ht="21" thickBot="1">
      <c r="B3" s="417" t="s">
        <v>1060</v>
      </c>
      <c r="C3" s="418"/>
      <c r="D3" s="418"/>
      <c r="E3" s="418"/>
      <c r="F3" s="418"/>
      <c r="G3" s="419"/>
    </row>
    <row r="4" spans="2:21">
      <c r="B4" s="13"/>
      <c r="C4" s="14"/>
      <c r="D4" s="14"/>
      <c r="E4" s="14"/>
      <c r="F4" s="14"/>
      <c r="G4" s="14"/>
      <c r="H4" s="14"/>
      <c r="I4" s="14"/>
      <c r="J4" s="14"/>
      <c r="K4" s="15"/>
    </row>
    <row r="5" spans="2:21">
      <c r="B5" s="16"/>
      <c r="C5" s="20" t="s">
        <v>390</v>
      </c>
      <c r="D5" s="65" t="s">
        <v>39</v>
      </c>
      <c r="E5" s="65" t="s">
        <v>40</v>
      </c>
      <c r="F5" s="65" t="s">
        <v>41</v>
      </c>
      <c r="G5" s="64" t="s">
        <v>175</v>
      </c>
      <c r="H5" s="64" t="str">
        <f>"Total Cost ("&amp;CurrencySymbol&amp;")"</f>
        <v>Total Cost ($)</v>
      </c>
      <c r="I5" s="64"/>
      <c r="J5" s="64"/>
      <c r="K5" s="19"/>
    </row>
    <row r="6" spans="2:21">
      <c r="B6" s="16"/>
      <c r="C6" s="18"/>
      <c r="D6" s="18"/>
      <c r="E6" s="123"/>
      <c r="F6" s="123"/>
      <c r="G6" s="18"/>
      <c r="H6" s="18"/>
      <c r="I6" s="18"/>
      <c r="J6" s="18"/>
      <c r="K6" s="19"/>
    </row>
    <row r="7" spans="2:21">
      <c r="B7" s="16"/>
      <c r="C7" s="20" t="s">
        <v>392</v>
      </c>
      <c r="D7" s="18"/>
      <c r="E7" s="123"/>
      <c r="F7" s="123"/>
      <c r="G7" s="18"/>
      <c r="H7" s="18"/>
      <c r="I7" s="18"/>
      <c r="J7" s="18"/>
      <c r="K7" s="19"/>
    </row>
    <row r="8" spans="2:21">
      <c r="B8" s="16"/>
      <c r="C8" s="124" t="s">
        <v>191</v>
      </c>
      <c r="D8" s="48">
        <v>100</v>
      </c>
      <c r="E8" s="129">
        <v>75</v>
      </c>
      <c r="F8" s="132">
        <v>125</v>
      </c>
      <c r="G8" s="48" t="s">
        <v>216</v>
      </c>
      <c r="H8" s="125">
        <f t="shared" ref="H8:H18" ca="1" si="0">IFERROR(D8/100*EquipPurchase,"")</f>
        <v>27053488.518370878</v>
      </c>
      <c r="I8" s="125"/>
      <c r="J8" s="125"/>
      <c r="K8" s="19"/>
    </row>
    <row r="9" spans="2:21">
      <c r="B9" s="16"/>
      <c r="C9" s="124" t="s">
        <v>192</v>
      </c>
      <c r="D9" s="128">
        <f ca="1">IFERROR(EquipInstalled/EquipPurchase*100-100,0)</f>
        <v>62.176829993598602</v>
      </c>
      <c r="E9" s="130">
        <f ca="1">D9*0.85</f>
        <v>52.85030549455881</v>
      </c>
      <c r="F9" s="133">
        <f ca="1">D9*1.25</f>
        <v>77.72103749199826</v>
      </c>
      <c r="G9" s="61" t="s">
        <v>216</v>
      </c>
      <c r="H9" s="125">
        <f t="shared" ca="1" si="0"/>
        <v>16821001.563405178</v>
      </c>
      <c r="I9" s="125"/>
      <c r="J9" s="125"/>
      <c r="K9" s="19"/>
    </row>
    <row r="10" spans="2:21">
      <c r="B10" s="16"/>
      <c r="C10" s="124" t="s">
        <v>193</v>
      </c>
      <c r="D10" s="56">
        <v>26</v>
      </c>
      <c r="E10" s="60">
        <v>18</v>
      </c>
      <c r="F10" s="60">
        <v>36</v>
      </c>
      <c r="G10" s="58" t="s">
        <v>216</v>
      </c>
      <c r="H10" s="125">
        <f t="shared" ca="1" si="0"/>
        <v>7033907.0147764282</v>
      </c>
      <c r="I10" s="125"/>
      <c r="J10" s="125"/>
      <c r="K10" s="19"/>
    </row>
    <row r="11" spans="2:21">
      <c r="B11" s="16"/>
      <c r="C11" s="124" t="s">
        <v>194</v>
      </c>
      <c r="D11" s="56">
        <v>31</v>
      </c>
      <c r="E11" s="60">
        <v>16</v>
      </c>
      <c r="F11" s="60">
        <v>68</v>
      </c>
      <c r="G11" s="47" t="s">
        <v>216</v>
      </c>
      <c r="H11" s="125">
        <f t="shared" ca="1" si="0"/>
        <v>8386581.4406949719</v>
      </c>
      <c r="I11" s="125"/>
      <c r="J11" s="125"/>
      <c r="K11" s="19"/>
    </row>
    <row r="12" spans="2:21">
      <c r="B12" s="16"/>
      <c r="C12" s="124" t="s">
        <v>195</v>
      </c>
      <c r="D12" s="56">
        <v>10</v>
      </c>
      <c r="E12" s="60">
        <v>10</v>
      </c>
      <c r="F12" s="60">
        <v>11</v>
      </c>
      <c r="G12" s="47" t="s">
        <v>216</v>
      </c>
      <c r="H12" s="125">
        <f t="shared" ca="1" si="0"/>
        <v>2705348.8518370879</v>
      </c>
      <c r="I12" s="125"/>
      <c r="J12" s="125"/>
      <c r="K12" s="19"/>
    </row>
    <row r="13" spans="2:21">
      <c r="B13" s="16"/>
      <c r="C13" s="124" t="s">
        <v>196</v>
      </c>
      <c r="D13" s="56">
        <v>29</v>
      </c>
      <c r="E13" s="60">
        <v>7</v>
      </c>
      <c r="F13" s="60">
        <v>47</v>
      </c>
      <c r="G13" s="47" t="s">
        <v>216</v>
      </c>
      <c r="H13" s="125">
        <f t="shared" ca="1" si="0"/>
        <v>7845511.6703275545</v>
      </c>
      <c r="I13" s="125"/>
      <c r="J13" s="125"/>
      <c r="K13" s="19"/>
    </row>
    <row r="14" spans="2:21">
      <c r="B14" s="16"/>
      <c r="C14" s="124" t="s">
        <v>197</v>
      </c>
      <c r="D14" s="56">
        <v>12</v>
      </c>
      <c r="E14" s="60">
        <v>10</v>
      </c>
      <c r="F14" s="60">
        <v>15</v>
      </c>
      <c r="G14" s="47" t="s">
        <v>216</v>
      </c>
      <c r="H14" s="125">
        <f t="shared" ca="1" si="0"/>
        <v>3246418.6222045054</v>
      </c>
      <c r="I14" s="125"/>
      <c r="J14" s="125"/>
      <c r="K14" s="19"/>
    </row>
    <row r="15" spans="2:21">
      <c r="B15" s="16"/>
      <c r="C15" s="124" t="s">
        <v>198</v>
      </c>
      <c r="D15" s="56">
        <v>55</v>
      </c>
      <c r="E15" s="60">
        <v>40</v>
      </c>
      <c r="F15" s="60">
        <v>70</v>
      </c>
      <c r="G15" s="47" t="s">
        <v>216</v>
      </c>
      <c r="H15" s="125">
        <f t="shared" ca="1" si="0"/>
        <v>14879418.685103985</v>
      </c>
      <c r="I15" s="125"/>
      <c r="J15" s="125"/>
      <c r="K15" s="19"/>
    </row>
    <row r="16" spans="2:21">
      <c r="B16" s="16"/>
      <c r="C16" s="124" t="s">
        <v>199</v>
      </c>
      <c r="D16" s="56">
        <v>5</v>
      </c>
      <c r="E16" s="60">
        <v>2</v>
      </c>
      <c r="F16" s="60">
        <v>6</v>
      </c>
      <c r="G16" s="47" t="s">
        <v>216</v>
      </c>
      <c r="H16" s="125">
        <f t="shared" ca="1" si="0"/>
        <v>1352674.4259185439</v>
      </c>
      <c r="I16" s="125"/>
      <c r="J16" s="125"/>
      <c r="K16" s="19"/>
    </row>
    <row r="17" spans="2:11">
      <c r="B17" s="16"/>
      <c r="C17" s="149" t="s">
        <v>200</v>
      </c>
      <c r="D17" s="56">
        <v>6</v>
      </c>
      <c r="E17" s="60">
        <v>4</v>
      </c>
      <c r="F17" s="60">
        <v>8</v>
      </c>
      <c r="G17" s="47" t="s">
        <v>216</v>
      </c>
      <c r="H17" s="150">
        <f t="shared" ca="1" si="0"/>
        <v>1623209.3111022527</v>
      </c>
      <c r="I17" s="125"/>
      <c r="J17" s="125"/>
      <c r="K17" s="19"/>
    </row>
    <row r="18" spans="2:11">
      <c r="B18" s="16"/>
      <c r="C18" s="20" t="s">
        <v>393</v>
      </c>
      <c r="D18" s="126">
        <f ca="1">SUM(D8:D17)</f>
        <v>336.17682999359863</v>
      </c>
      <c r="E18" s="115"/>
      <c r="F18" s="115"/>
      <c r="G18" s="20" t="s">
        <v>216</v>
      </c>
      <c r="H18" s="127">
        <f t="shared" ca="1" si="0"/>
        <v>90947560.103741392</v>
      </c>
      <c r="I18" s="127"/>
      <c r="J18" s="127"/>
      <c r="K18" s="19"/>
    </row>
    <row r="19" spans="2:11">
      <c r="B19" s="16"/>
      <c r="C19" s="18"/>
      <c r="D19" s="18"/>
      <c r="E19" s="123"/>
      <c r="F19" s="123"/>
      <c r="G19" s="18"/>
      <c r="H19" s="18"/>
      <c r="I19" s="18"/>
      <c r="J19" s="18"/>
      <c r="K19" s="19"/>
    </row>
    <row r="20" spans="2:11">
      <c r="B20" s="16"/>
      <c r="C20" s="121" t="s">
        <v>394</v>
      </c>
      <c r="D20" s="18"/>
      <c r="E20" s="123"/>
      <c r="F20" s="123"/>
      <c r="G20" s="18"/>
      <c r="H20" s="18"/>
      <c r="I20" s="18"/>
      <c r="J20" s="18"/>
      <c r="K20" s="19"/>
    </row>
    <row r="21" spans="2:11">
      <c r="B21" s="16"/>
      <c r="C21" s="124" t="s">
        <v>201</v>
      </c>
      <c r="D21" s="56">
        <v>32</v>
      </c>
      <c r="E21" s="60">
        <v>32</v>
      </c>
      <c r="F21" s="60">
        <v>33</v>
      </c>
      <c r="G21" s="47" t="s">
        <v>216</v>
      </c>
      <c r="H21" s="125">
        <f t="shared" ref="H21:H26" ca="1" si="1">IFERROR(D21/100*EquipPurchase,"")</f>
        <v>8657116.3258786816</v>
      </c>
      <c r="I21" s="125"/>
      <c r="J21" s="125"/>
      <c r="K21" s="19"/>
    </row>
    <row r="22" spans="2:11">
      <c r="B22" s="16"/>
      <c r="C22" s="124" t="s">
        <v>202</v>
      </c>
      <c r="D22" s="56">
        <v>34</v>
      </c>
      <c r="E22" s="60">
        <v>34</v>
      </c>
      <c r="F22" s="60">
        <v>41</v>
      </c>
      <c r="G22" s="47" t="s">
        <v>216</v>
      </c>
      <c r="H22" s="125">
        <f t="shared" ca="1" si="1"/>
        <v>9198186.0962460991</v>
      </c>
      <c r="I22" s="125"/>
      <c r="J22" s="125"/>
      <c r="K22" s="19"/>
    </row>
    <row r="23" spans="2:11">
      <c r="B23" s="16"/>
      <c r="C23" s="124" t="s">
        <v>203</v>
      </c>
      <c r="D23" s="56">
        <v>4</v>
      </c>
      <c r="E23" s="60">
        <v>4</v>
      </c>
      <c r="F23" s="60">
        <v>4</v>
      </c>
      <c r="G23" s="47" t="s">
        <v>216</v>
      </c>
      <c r="H23" s="125">
        <f t="shared" ca="1" si="1"/>
        <v>1082139.5407348352</v>
      </c>
      <c r="I23" s="125"/>
      <c r="J23" s="125"/>
      <c r="K23" s="19"/>
    </row>
    <row r="24" spans="2:11">
      <c r="B24" s="16"/>
      <c r="C24" s="124" t="s">
        <v>204</v>
      </c>
      <c r="D24" s="56">
        <v>19</v>
      </c>
      <c r="E24" s="60">
        <v>17</v>
      </c>
      <c r="F24" s="60">
        <v>22</v>
      </c>
      <c r="G24" s="47" t="s">
        <v>216</v>
      </c>
      <c r="H24" s="125">
        <f t="shared" ca="1" si="1"/>
        <v>5140162.818490467</v>
      </c>
      <c r="I24" s="125"/>
      <c r="J24" s="125"/>
      <c r="K24" s="19"/>
    </row>
    <row r="25" spans="2:11">
      <c r="B25" s="16"/>
      <c r="C25" s="149" t="s">
        <v>205</v>
      </c>
      <c r="D25" s="56">
        <v>37</v>
      </c>
      <c r="E25" s="60">
        <v>35</v>
      </c>
      <c r="F25" s="60">
        <v>44</v>
      </c>
      <c r="G25" s="47" t="s">
        <v>216</v>
      </c>
      <c r="H25" s="150">
        <f t="shared" ca="1" si="1"/>
        <v>10009790.751797225</v>
      </c>
      <c r="I25" s="125"/>
      <c r="J25" s="125"/>
      <c r="K25" s="19"/>
    </row>
    <row r="26" spans="2:11">
      <c r="B26" s="16"/>
      <c r="C26" s="20" t="s">
        <v>395</v>
      </c>
      <c r="D26" s="20">
        <f>SUM(D21:D25)</f>
        <v>126</v>
      </c>
      <c r="E26" s="115"/>
      <c r="F26" s="115"/>
      <c r="G26" s="20" t="s">
        <v>216</v>
      </c>
      <c r="H26" s="127">
        <f t="shared" ca="1" si="1"/>
        <v>34087395.533147305</v>
      </c>
      <c r="I26" s="127"/>
      <c r="J26" s="127"/>
      <c r="K26" s="19"/>
    </row>
    <row r="27" spans="2:11">
      <c r="B27" s="16"/>
      <c r="C27" s="18"/>
      <c r="D27" s="18"/>
      <c r="E27" s="123"/>
      <c r="F27" s="123"/>
      <c r="G27" s="18"/>
      <c r="H27" s="125"/>
      <c r="I27" s="125"/>
      <c r="J27" s="125"/>
      <c r="K27" s="19"/>
    </row>
    <row r="28" spans="2:11">
      <c r="B28" s="16"/>
      <c r="C28" s="20" t="s">
        <v>396</v>
      </c>
      <c r="D28" s="126">
        <f ca="1">D18+D26</f>
        <v>462.17682999359863</v>
      </c>
      <c r="E28" s="115"/>
      <c r="F28" s="115"/>
      <c r="G28" s="20" t="s">
        <v>216</v>
      </c>
      <c r="H28" s="127">
        <f ca="1">IFERROR(D28/100*EquipPurchase,"")</f>
        <v>125034955.63688871</v>
      </c>
      <c r="I28" s="127"/>
      <c r="J28" s="127"/>
      <c r="K28" s="19"/>
    </row>
    <row r="29" spans="2:11">
      <c r="B29" s="16"/>
      <c r="C29" s="149" t="s">
        <v>206</v>
      </c>
      <c r="D29" s="56">
        <v>75</v>
      </c>
      <c r="E29" s="60">
        <v>65</v>
      </c>
      <c r="F29" s="60">
        <v>85</v>
      </c>
      <c r="G29" s="47" t="s">
        <v>216</v>
      </c>
      <c r="H29" s="150">
        <f ca="1">IFERROR(D29/100*EquipPurchase,"")</f>
        <v>20290116.388778158</v>
      </c>
      <c r="I29" s="125"/>
      <c r="J29" s="42" t="s">
        <v>162</v>
      </c>
      <c r="K29" s="19"/>
    </row>
    <row r="30" spans="2:11">
      <c r="B30" s="16"/>
      <c r="C30" s="20" t="s">
        <v>418</v>
      </c>
      <c r="D30" s="126">
        <f ca="1">D28+D29</f>
        <v>537.17682999359863</v>
      </c>
      <c r="E30" s="115"/>
      <c r="F30" s="115"/>
      <c r="G30" s="20" t="s">
        <v>216</v>
      </c>
      <c r="H30" s="127">
        <f ca="1">IFERROR(D30/100*EquipPurchase,"")</f>
        <v>145325072.02566686</v>
      </c>
      <c r="I30" s="127"/>
      <c r="J30" s="127"/>
      <c r="K30" s="19"/>
    </row>
    <row r="31" spans="2:11" ht="17" thickBot="1">
      <c r="B31" s="21"/>
      <c r="C31" s="22"/>
      <c r="D31" s="22"/>
      <c r="E31" s="22"/>
      <c r="F31" s="22"/>
      <c r="G31" s="22"/>
      <c r="H31" s="22"/>
      <c r="I31" s="22"/>
      <c r="J31" s="22"/>
      <c r="K31" s="23"/>
    </row>
  </sheetData>
  <mergeCells count="1">
    <mergeCell ref="B3:G3"/>
  </mergeCells>
  <conditionalFormatting sqref="D10:D17 D21:D25 D29">
    <cfRule type="containsBlanks" dxfId="116" priority="1">
      <formula>LEN(TRIM(D10))=0</formula>
    </cfRule>
  </conditionalFormatting>
  <pageMargins left="0.75" right="0.75" top="1" bottom="1" header="0.5" footer="0.5"/>
  <pageSetup orientation="portrait" horizontalDpi="4294967292" verticalDpi="4294967292"/>
  <ignoredErrors>
    <ignoredError sqref="B1" emptyCellReference="1"/>
  </ignoredErrors>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sheetPr>
  <dimension ref="B1:T34"/>
  <sheetViews>
    <sheetView workbookViewId="0">
      <pane ySplit="1" topLeftCell="A2" activePane="bottomLeft" state="frozenSplit"/>
      <selection pane="bottomLeft"/>
    </sheetView>
  </sheetViews>
  <sheetFormatPr baseColWidth="10" defaultColWidth="11" defaultRowHeight="16" outlineLevelCol="1"/>
  <cols>
    <col min="1" max="2" width="2.5" style="11" customWidth="1"/>
    <col min="3" max="3" width="39.1640625" style="11" customWidth="1"/>
    <col min="4" max="4" width="11" style="11" customWidth="1"/>
    <col min="5" max="6" width="11" style="11" customWidth="1" outlineLevel="1"/>
    <col min="7" max="7" width="44.6640625" style="11" bestFit="1" customWidth="1"/>
    <col min="8" max="8" width="14.1640625" style="11" bestFit="1" customWidth="1"/>
    <col min="9" max="9" width="16.5" style="11" bestFit="1" customWidth="1"/>
    <col min="10" max="10" width="2.5" style="11" customWidth="1"/>
    <col min="11" max="11" width="4.83203125" style="11" customWidth="1"/>
    <col min="12" max="12" width="2.5" style="11" customWidth="1"/>
    <col min="13" max="16384" width="11" style="11"/>
  </cols>
  <sheetData>
    <row r="1" spans="2:20" s="10" customFormat="1" ht="24" customHeight="1">
      <c r="B1" s="108" t="str">
        <f>"CatCost v"&amp;Version&amp;": "&amp;EstimateName</f>
        <v>CatCost v1.0.0: FCC RE USY</v>
      </c>
      <c r="G1" s="109" t="s">
        <v>44</v>
      </c>
      <c r="H1" s="110"/>
      <c r="I1" s="110"/>
      <c r="J1" s="110"/>
      <c r="K1" s="110"/>
      <c r="L1" s="110"/>
      <c r="M1" s="110"/>
      <c r="N1" s="110"/>
      <c r="O1" s="110"/>
      <c r="P1" s="110"/>
      <c r="Q1" s="110"/>
      <c r="R1" s="110"/>
      <c r="S1" s="109"/>
      <c r="T1" s="110"/>
    </row>
    <row r="2" spans="2:20" ht="17" thickBot="1"/>
    <row r="3" spans="2:20" ht="21" thickBot="1">
      <c r="B3" s="417" t="s">
        <v>1061</v>
      </c>
      <c r="C3" s="418"/>
      <c r="D3" s="418"/>
      <c r="E3" s="418"/>
      <c r="F3" s="418"/>
      <c r="G3" s="419"/>
    </row>
    <row r="4" spans="2:20">
      <c r="B4" s="13"/>
      <c r="C4" s="14"/>
      <c r="D4" s="14"/>
      <c r="E4" s="14"/>
      <c r="F4" s="14"/>
      <c r="G4" s="14"/>
      <c r="H4" s="14"/>
      <c r="I4" s="14"/>
      <c r="J4" s="14"/>
      <c r="K4" s="14"/>
      <c r="L4" s="15"/>
    </row>
    <row r="5" spans="2:20">
      <c r="B5" s="16"/>
      <c r="C5" s="20" t="s">
        <v>390</v>
      </c>
      <c r="D5" s="65" t="s">
        <v>39</v>
      </c>
      <c r="E5" s="65" t="s">
        <v>40</v>
      </c>
      <c r="F5" s="65" t="s">
        <v>41</v>
      </c>
      <c r="G5" s="64" t="s">
        <v>175</v>
      </c>
      <c r="H5" s="64" t="str">
        <f>"Cost ("&amp;CurrencySymbol&amp;"/year)"</f>
        <v>Cost ($/year)</v>
      </c>
      <c r="I5" s="64" t="str">
        <f>"Cost ("&amp;CurrencySymbol&amp;"/"&amp;OutMassUnit&amp;" catalyst)"</f>
        <v>Cost ($/lb catalyst)</v>
      </c>
      <c r="J5" s="64"/>
      <c r="K5" s="64"/>
      <c r="L5" s="19"/>
    </row>
    <row r="6" spans="2:20">
      <c r="B6" s="16"/>
      <c r="C6" s="18"/>
      <c r="D6" s="18"/>
      <c r="E6" s="18"/>
      <c r="F6" s="18"/>
      <c r="G6" s="18"/>
      <c r="H6" s="18"/>
      <c r="I6" s="18"/>
      <c r="J6" s="18"/>
      <c r="K6" s="18"/>
      <c r="L6" s="19"/>
    </row>
    <row r="7" spans="2:20">
      <c r="B7" s="16"/>
      <c r="C7" s="20" t="s">
        <v>419</v>
      </c>
      <c r="D7" s="18"/>
      <c r="E7" s="18"/>
      <c r="F7" s="18"/>
      <c r="G7" s="18"/>
      <c r="H7" s="18"/>
      <c r="I7" s="18"/>
      <c r="J7" s="18"/>
      <c r="K7" s="18"/>
      <c r="L7" s="19"/>
    </row>
    <row r="8" spans="2:20">
      <c r="B8" s="16"/>
      <c r="C8" s="124" t="s">
        <v>208</v>
      </c>
      <c r="D8" s="51">
        <f ca="1">IFERROR(ROUNDUP(LaborFacTotal,0),"")</f>
        <v>18</v>
      </c>
      <c r="E8" s="197">
        <f ca="1">IFERROR(MAX(D8-1,1),"")</f>
        <v>17</v>
      </c>
      <c r="F8" s="142">
        <f ca="1">IFERROR(D8+1,"")</f>
        <v>19</v>
      </c>
      <c r="G8" s="48" t="s">
        <v>421</v>
      </c>
      <c r="H8" s="18"/>
      <c r="I8" s="18"/>
      <c r="J8" s="18"/>
      <c r="K8" s="18"/>
      <c r="L8" s="19"/>
    </row>
    <row r="9" spans="2:20">
      <c r="B9" s="16"/>
      <c r="C9" s="124" t="s">
        <v>209</v>
      </c>
      <c r="D9" s="134">
        <f ca="1">IFERROR(LaborHours*D8,"")</f>
        <v>157680</v>
      </c>
      <c r="E9" s="143"/>
      <c r="F9" s="143"/>
      <c r="G9" s="48" t="s">
        <v>364</v>
      </c>
      <c r="H9" s="18"/>
      <c r="I9" s="18"/>
      <c r="J9" s="18"/>
      <c r="K9" s="18"/>
      <c r="L9" s="19"/>
    </row>
    <row r="10" spans="2:20">
      <c r="B10" s="16"/>
      <c r="C10" s="124" t="s">
        <v>360</v>
      </c>
      <c r="D10" s="141">
        <v>43</v>
      </c>
      <c r="E10" s="72">
        <f>D10*0.9</f>
        <v>38.700000000000003</v>
      </c>
      <c r="F10" s="72">
        <f>D10*1.15</f>
        <v>49.449999999999996</v>
      </c>
      <c r="G10" s="47" t="str">
        <f>CurrencySymbol&amp;"/hr"</f>
        <v>$/hr</v>
      </c>
      <c r="H10" s="18"/>
      <c r="I10" s="18"/>
      <c r="J10" s="18"/>
      <c r="K10" s="18"/>
      <c r="L10" s="19"/>
    </row>
    <row r="11" spans="2:20">
      <c r="B11" s="16"/>
      <c r="C11" s="139" t="s">
        <v>363</v>
      </c>
      <c r="D11" s="135"/>
      <c r="E11" s="143"/>
      <c r="F11" s="143"/>
      <c r="G11" s="48"/>
      <c r="H11" s="140">
        <f ca="1">IFERROR(D9*D10,"")</f>
        <v>6780240</v>
      </c>
      <c r="I11" s="118">
        <f ca="1">IF(H11="","",H11/ActualProduction)</f>
        <v>6.7802399999999999E-2</v>
      </c>
      <c r="J11" s="118"/>
      <c r="K11" s="118"/>
      <c r="L11" s="19"/>
    </row>
    <row r="12" spans="2:20">
      <c r="B12" s="16"/>
      <c r="C12" s="124"/>
      <c r="D12" s="135"/>
      <c r="E12" s="143"/>
      <c r="F12" s="143"/>
      <c r="G12" s="48"/>
      <c r="H12" s="136"/>
      <c r="I12" s="137"/>
      <c r="J12" s="137"/>
      <c r="K12" s="137"/>
      <c r="L12" s="19"/>
    </row>
    <row r="13" spans="2:20">
      <c r="B13" s="16"/>
      <c r="C13" s="121" t="s">
        <v>397</v>
      </c>
      <c r="D13" s="135"/>
      <c r="E13" s="143"/>
      <c r="F13" s="143"/>
      <c r="G13" s="48"/>
      <c r="H13" s="136"/>
      <c r="I13" s="137"/>
      <c r="J13" s="137"/>
      <c r="K13" s="137"/>
      <c r="L13" s="19"/>
    </row>
    <row r="14" spans="2:20">
      <c r="B14" s="16"/>
      <c r="C14" s="124" t="s">
        <v>362</v>
      </c>
      <c r="D14" s="141">
        <v>18</v>
      </c>
      <c r="E14" s="72">
        <v>10</v>
      </c>
      <c r="F14" s="72">
        <v>20</v>
      </c>
      <c r="G14" s="47" t="s">
        <v>361</v>
      </c>
      <c r="H14" s="136">
        <f ca="1">IFERROR(D14/100*$H$11,"")</f>
        <v>1220443.2</v>
      </c>
      <c r="I14" s="137">
        <f t="shared" ref="I14:I28" ca="1" si="0">IF(H14="","",H14/ActualProduction)</f>
        <v>1.2204431999999999E-2</v>
      </c>
      <c r="J14" s="137"/>
      <c r="K14" s="137"/>
      <c r="L14" s="19"/>
    </row>
    <row r="15" spans="2:20">
      <c r="B15" s="16"/>
      <c r="C15" s="124" t="s">
        <v>365</v>
      </c>
      <c r="D15" s="141">
        <v>15</v>
      </c>
      <c r="E15" s="72">
        <v>10</v>
      </c>
      <c r="F15" s="72">
        <v>20</v>
      </c>
      <c r="G15" s="47" t="s">
        <v>361</v>
      </c>
      <c r="H15" s="136">
        <f ca="1">IFERROR(D15/100*$H$11,"")</f>
        <v>1017036</v>
      </c>
      <c r="I15" s="137">
        <f t="shared" ca="1" si="0"/>
        <v>1.017036E-2</v>
      </c>
      <c r="J15" s="137"/>
      <c r="K15" s="137"/>
      <c r="L15" s="19"/>
    </row>
    <row r="16" spans="2:20">
      <c r="B16" s="16"/>
      <c r="C16" s="124" t="s">
        <v>369</v>
      </c>
      <c r="D16" s="141">
        <v>5</v>
      </c>
      <c r="E16" s="72">
        <v>5</v>
      </c>
      <c r="F16" s="72">
        <v>9</v>
      </c>
      <c r="G16" s="47" t="s">
        <v>366</v>
      </c>
      <c r="H16" s="125">
        <f ca="1">IFERROR(D16/100*FCI,"")</f>
        <v>6251747.7818444362</v>
      </c>
      <c r="I16" s="137">
        <f t="shared" ca="1" si="0"/>
        <v>6.2517477818444356E-2</v>
      </c>
      <c r="J16" s="137"/>
      <c r="K16" s="137"/>
      <c r="L16" s="19"/>
    </row>
    <row r="17" spans="2:12">
      <c r="B17" s="16"/>
      <c r="C17" s="149" t="s">
        <v>367</v>
      </c>
      <c r="D17" s="141">
        <v>15</v>
      </c>
      <c r="E17" s="72">
        <v>10</v>
      </c>
      <c r="F17" s="72">
        <v>20</v>
      </c>
      <c r="G17" s="47" t="s">
        <v>368</v>
      </c>
      <c r="H17" s="150">
        <f ca="1">IFERROR(D17/100*H16,"")</f>
        <v>937762.16727666545</v>
      </c>
      <c r="I17" s="151">
        <f t="shared" ca="1" si="0"/>
        <v>9.3776216727666541E-3</v>
      </c>
      <c r="J17" s="137"/>
      <c r="K17" s="137"/>
      <c r="L17" s="19"/>
    </row>
    <row r="18" spans="2:12">
      <c r="B18" s="16"/>
      <c r="C18" s="121" t="s">
        <v>374</v>
      </c>
      <c r="D18" s="135"/>
      <c r="E18" s="143"/>
      <c r="F18" s="143"/>
      <c r="G18" s="48"/>
      <c r="H18" s="127">
        <f ca="1">SUM(H11:H17)</f>
        <v>16207229.149121102</v>
      </c>
      <c r="I18" s="118">
        <f ca="1">IFERROR(H18/ActualProduction,"")</f>
        <v>0.16207229149121102</v>
      </c>
      <c r="J18" s="118"/>
      <c r="K18" s="118"/>
      <c r="L18" s="19"/>
    </row>
    <row r="19" spans="2:12">
      <c r="B19" s="16"/>
      <c r="C19" s="138"/>
      <c r="D19" s="135"/>
      <c r="E19" s="143"/>
      <c r="F19" s="143"/>
      <c r="G19" s="48"/>
      <c r="H19" s="125"/>
      <c r="I19" s="137" t="str">
        <f t="shared" si="0"/>
        <v/>
      </c>
      <c r="J19" s="137"/>
      <c r="K19" s="137"/>
      <c r="L19" s="19"/>
    </row>
    <row r="20" spans="2:12">
      <c r="B20" s="16"/>
      <c r="C20" s="121" t="s">
        <v>420</v>
      </c>
      <c r="D20" s="135"/>
      <c r="E20" s="143"/>
      <c r="F20" s="143"/>
      <c r="G20" s="48"/>
      <c r="H20" s="18"/>
      <c r="I20" s="137" t="str">
        <f t="shared" si="0"/>
        <v/>
      </c>
      <c r="J20" s="137"/>
      <c r="K20" s="137"/>
      <c r="L20" s="19"/>
    </row>
    <row r="21" spans="2:12">
      <c r="B21" s="16"/>
      <c r="C21" s="124" t="s">
        <v>370</v>
      </c>
      <c r="D21" s="141">
        <v>2.5</v>
      </c>
      <c r="E21" s="72">
        <v>1</v>
      </c>
      <c r="F21" s="72">
        <v>4</v>
      </c>
      <c r="G21" s="47" t="s">
        <v>366</v>
      </c>
      <c r="H21" s="125">
        <f ca="1">IFERROR(D21/100*FCI,"")</f>
        <v>3125873.8909222181</v>
      </c>
      <c r="I21" s="137">
        <f t="shared" ca="1" si="0"/>
        <v>3.1258738909222178E-2</v>
      </c>
      <c r="J21" s="137"/>
      <c r="K21" s="137"/>
      <c r="L21" s="19"/>
    </row>
    <row r="22" spans="2:12">
      <c r="B22" s="16"/>
      <c r="C22" s="124" t="s">
        <v>371</v>
      </c>
      <c r="D22" s="141">
        <v>0.8</v>
      </c>
      <c r="E22" s="72">
        <v>0.4</v>
      </c>
      <c r="F22" s="72">
        <v>1</v>
      </c>
      <c r="G22" s="47" t="s">
        <v>366</v>
      </c>
      <c r="H22" s="125">
        <f ca="1">IFERROR(D22/100*FCI,"")</f>
        <v>1000279.6450951097</v>
      </c>
      <c r="I22" s="137">
        <f t="shared" ca="1" si="0"/>
        <v>1.0002796450951097E-2</v>
      </c>
      <c r="J22" s="137"/>
      <c r="K22" s="137"/>
      <c r="L22" s="19"/>
    </row>
    <row r="23" spans="2:12">
      <c r="B23" s="16"/>
      <c r="C23" s="124" t="s">
        <v>210</v>
      </c>
      <c r="D23" s="141">
        <v>10</v>
      </c>
      <c r="E23" s="72">
        <v>8</v>
      </c>
      <c r="F23" s="72">
        <v>12</v>
      </c>
      <c r="G23" s="47" t="s">
        <v>373</v>
      </c>
      <c r="H23" s="125">
        <f ca="1">IFERROR(D23/100*'3d CapEx'!H17,"")</f>
        <v>162320.93111022527</v>
      </c>
      <c r="I23" s="137">
        <f t="shared" ca="1" si="0"/>
        <v>1.6232093111022527E-3</v>
      </c>
      <c r="J23" s="137"/>
      <c r="K23" s="137"/>
      <c r="L23" s="19"/>
    </row>
    <row r="24" spans="2:12">
      <c r="B24" s="16"/>
      <c r="C24" s="149" t="s">
        <v>211</v>
      </c>
      <c r="D24" s="141">
        <v>60</v>
      </c>
      <c r="E24" s="72">
        <v>50</v>
      </c>
      <c r="F24" s="72">
        <v>70</v>
      </c>
      <c r="G24" s="47" t="s">
        <v>372</v>
      </c>
      <c r="H24" s="150">
        <f ca="1">IF(H18=0,"",D24/100*H18)</f>
        <v>9724337.4894726612</v>
      </c>
      <c r="I24" s="151">
        <f t="shared" ca="1" si="0"/>
        <v>9.7243374894726606E-2</v>
      </c>
      <c r="J24" s="137"/>
      <c r="K24" s="137"/>
      <c r="L24" s="19"/>
    </row>
    <row r="25" spans="2:12">
      <c r="B25" s="16"/>
      <c r="C25" s="20" t="s">
        <v>375</v>
      </c>
      <c r="D25" s="135"/>
      <c r="E25" s="143"/>
      <c r="F25" s="143"/>
      <c r="G25" s="48"/>
      <c r="H25" s="127">
        <f ca="1">SUM(H21:H24)</f>
        <v>14012811.956600215</v>
      </c>
      <c r="I25" s="118">
        <f ca="1">IFERROR(H25/ActualProduction,"")</f>
        <v>0.14012811956600216</v>
      </c>
      <c r="J25" s="118"/>
      <c r="K25" s="118"/>
      <c r="L25" s="19"/>
    </row>
    <row r="26" spans="2:12">
      <c r="B26" s="16"/>
      <c r="C26" s="18"/>
      <c r="D26" s="135"/>
      <c r="E26" s="143"/>
      <c r="F26" s="143"/>
      <c r="G26" s="48"/>
      <c r="H26" s="18"/>
      <c r="I26" s="137" t="str">
        <f t="shared" si="0"/>
        <v/>
      </c>
      <c r="J26" s="137"/>
      <c r="K26" s="137"/>
      <c r="L26" s="19"/>
    </row>
    <row r="27" spans="2:12">
      <c r="B27" s="16"/>
      <c r="C27" s="20" t="s">
        <v>403</v>
      </c>
      <c r="D27" s="135"/>
      <c r="E27" s="143"/>
      <c r="F27" s="143"/>
      <c r="G27" s="48"/>
      <c r="H27" s="18"/>
      <c r="I27" s="137" t="str">
        <f t="shared" si="0"/>
        <v/>
      </c>
      <c r="J27" s="137"/>
      <c r="K27" s="137"/>
      <c r="L27" s="19"/>
    </row>
    <row r="28" spans="2:12">
      <c r="B28" s="16"/>
      <c r="C28" s="124" t="s">
        <v>376</v>
      </c>
      <c r="D28" s="141">
        <v>20</v>
      </c>
      <c r="E28" s="72">
        <v>12</v>
      </c>
      <c r="F28" s="72">
        <v>30</v>
      </c>
      <c r="G28" s="47" t="s">
        <v>372</v>
      </c>
      <c r="H28" s="125">
        <f ca="1">IF(H18=0,"",D28/100*H18)</f>
        <v>3241445.8298242204</v>
      </c>
      <c r="I28" s="137">
        <f t="shared" ca="1" si="0"/>
        <v>3.2414458298242202E-2</v>
      </c>
      <c r="J28" s="137"/>
      <c r="K28" s="137"/>
      <c r="L28" s="19"/>
    </row>
    <row r="29" spans="2:12">
      <c r="B29" s="16"/>
      <c r="C29" s="124" t="s">
        <v>378</v>
      </c>
      <c r="D29" s="141">
        <v>10</v>
      </c>
      <c r="E29" s="72">
        <v>2</v>
      </c>
      <c r="F29" s="72">
        <v>20</v>
      </c>
      <c r="G29" s="47" t="s">
        <v>983</v>
      </c>
      <c r="H29" s="125">
        <f ca="1">D29/100*(MaterialsAnnualCost-IFERROR(IF(VLOOKUP('4 Spent Catalyst'!$D$6,Spent2[],6,FALSE)="Yes",'4 Spent Catalyst'!$D$16*'4 Spent Catalyst'!$D$32,0),0)*ActualProduction+UtilitiesAnnualCost+$H$18+$H$25)</f>
        <v>7163529.283800479</v>
      </c>
      <c r="I29" s="137">
        <f ca="1">IFERROR(H29/ActualProduction,"")</f>
        <v>7.1635292838004794E-2</v>
      </c>
      <c r="J29" s="137"/>
      <c r="K29" s="42" t="s">
        <v>162</v>
      </c>
      <c r="L29" s="19"/>
    </row>
    <row r="30" spans="2:12">
      <c r="B30" s="16"/>
      <c r="C30" s="149" t="s">
        <v>377</v>
      </c>
      <c r="D30" s="141">
        <v>5</v>
      </c>
      <c r="E30" s="72">
        <v>4</v>
      </c>
      <c r="F30" s="72">
        <v>8</v>
      </c>
      <c r="G30" s="47" t="s">
        <v>983</v>
      </c>
      <c r="H30" s="150">
        <f ca="1">D30/100*(MaterialsAnnualCost-IFERROR(IF(VLOOKUP('4 Spent Catalyst'!$D$6,Spent2[],6,FALSE)="Yes",'4 Spent Catalyst'!$D$16*'4 Spent Catalyst'!$D$32,0),0)*ActualProduction+UtilitiesAnnualCost+$H$18+$H$25)</f>
        <v>3581764.6419002395</v>
      </c>
      <c r="I30" s="151">
        <f ca="1">IFERROR(H30/ActualProduction,"")</f>
        <v>3.5817646419002397E-2</v>
      </c>
      <c r="J30" s="137"/>
      <c r="K30" s="42" t="s">
        <v>162</v>
      </c>
      <c r="L30" s="19"/>
    </row>
    <row r="31" spans="2:12">
      <c r="B31" s="16"/>
      <c r="C31" s="20" t="s">
        <v>379</v>
      </c>
      <c r="D31" s="18"/>
      <c r="E31" s="18"/>
      <c r="F31" s="18"/>
      <c r="G31" s="18"/>
      <c r="H31" s="127">
        <f ca="1">SUM(H28:H30)</f>
        <v>13986739.755524939</v>
      </c>
      <c r="I31" s="118">
        <f ca="1">IFERROR(H31/ActualProduction,"")</f>
        <v>0.13986739755524938</v>
      </c>
      <c r="J31" s="118"/>
      <c r="K31" s="118"/>
      <c r="L31" s="19"/>
    </row>
    <row r="32" spans="2:12" ht="17" thickBot="1">
      <c r="B32" s="21"/>
      <c r="C32" s="22"/>
      <c r="D32" s="22"/>
      <c r="E32" s="22"/>
      <c r="F32" s="22"/>
      <c r="G32" s="22"/>
      <c r="H32" s="22"/>
      <c r="I32" s="22"/>
      <c r="J32" s="22"/>
      <c r="K32" s="22"/>
      <c r="L32" s="23"/>
    </row>
    <row r="34" spans="3:5">
      <c r="C34" s="50"/>
      <c r="D34" s="50"/>
      <c r="E34" s="50"/>
    </row>
  </sheetData>
  <mergeCells count="1">
    <mergeCell ref="B3:G3"/>
  </mergeCells>
  <conditionalFormatting sqref="D10 D14:D17 D21:D24 D28:D30">
    <cfRule type="containsBlanks" dxfId="115" priority="1">
      <formula>LEN(TRIM(D10))=0</formula>
    </cfRule>
  </conditionalFormatting>
  <pageMargins left="0.75" right="0.75" top="1" bottom="1" header="0.5" footer="0.5"/>
  <pageSetup orientation="portrait" horizontalDpi="4294967292" verticalDpi="4294967292"/>
  <ignoredErrors>
    <ignoredError sqref="H19:I20 H26:I27 I21 I22 H18 I23 I24 H25 B1 H29:H30" emptyCellReference="1"/>
    <ignoredError sqref="I18 I25" formula="1"/>
  </ignoredErrors>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59999389629810485"/>
  </sheetPr>
  <dimension ref="A1:R48"/>
  <sheetViews>
    <sheetView workbookViewId="0">
      <pane ySplit="1" topLeftCell="A2" activePane="bottomLeft" state="frozenSplit"/>
      <selection pane="bottomLeft"/>
    </sheetView>
  </sheetViews>
  <sheetFormatPr baseColWidth="10" defaultRowHeight="16" outlineLevelCol="1"/>
  <cols>
    <col min="1" max="2" width="2.5" style="11" customWidth="1"/>
    <col min="3" max="3" width="32.5" style="11" bestFit="1" customWidth="1"/>
    <col min="4" max="4" width="26" style="11" bestFit="1" customWidth="1"/>
    <col min="5" max="6" width="7.83203125" style="11" hidden="1" customWidth="1" outlineLevel="1"/>
    <col min="7" max="7" width="13.33203125" style="11" bestFit="1" customWidth="1" collapsed="1"/>
    <col min="8" max="8" width="2.5" style="11" customWidth="1"/>
    <col min="9" max="9" width="4.83203125" style="11" customWidth="1"/>
    <col min="10" max="10" width="2.5" style="11" customWidth="1"/>
    <col min="11" max="11" width="10.83203125" style="11"/>
    <col min="12" max="12" width="2.5" style="11" customWidth="1"/>
    <col min="13" max="13" width="21.83203125" style="11" bestFit="1" customWidth="1"/>
    <col min="14" max="14" width="29.1640625" style="11" bestFit="1" customWidth="1"/>
    <col min="15" max="15" width="6.5" style="11" bestFit="1" customWidth="1"/>
    <col min="16" max="16" width="2.5" style="11" customWidth="1"/>
    <col min="17" max="17" width="4.83203125" style="11" customWidth="1"/>
    <col min="18" max="18" width="2.5" style="11" customWidth="1"/>
    <col min="19" max="16384" width="10.83203125" style="11"/>
  </cols>
  <sheetData>
    <row r="1" spans="1:18" s="10" customFormat="1" ht="24" customHeight="1">
      <c r="A1" s="110"/>
      <c r="B1" s="108" t="str">
        <f>"CatCost v"&amp;Version&amp;": "&amp;EstimateName</f>
        <v>CatCost v1.0.0: FCC RE USY</v>
      </c>
      <c r="G1" s="109" t="s">
        <v>44</v>
      </c>
      <c r="I1" s="110"/>
      <c r="J1" s="110"/>
      <c r="K1" s="110"/>
      <c r="L1" s="110"/>
      <c r="M1" s="110"/>
      <c r="N1" s="110"/>
      <c r="O1" s="110"/>
      <c r="P1" s="110"/>
      <c r="Q1" s="110"/>
      <c r="R1" s="109"/>
    </row>
    <row r="2" spans="1:18" ht="17" thickBot="1"/>
    <row r="3" spans="1:18" ht="21" thickBot="1">
      <c r="B3" s="417" t="s">
        <v>993</v>
      </c>
      <c r="C3" s="418"/>
      <c r="D3" s="419"/>
      <c r="H3" s="152"/>
      <c r="L3" s="417" t="s">
        <v>893</v>
      </c>
      <c r="M3" s="418"/>
      <c r="N3" s="419"/>
    </row>
    <row r="4" spans="1:18">
      <c r="B4" s="13"/>
      <c r="C4" s="14"/>
      <c r="D4" s="14"/>
      <c r="E4" s="14"/>
      <c r="F4" s="14"/>
      <c r="G4" s="14"/>
      <c r="H4" s="14"/>
      <c r="I4" s="14"/>
      <c r="J4" s="15"/>
      <c r="L4" s="13"/>
      <c r="M4" s="14"/>
      <c r="N4" s="14"/>
      <c r="O4" s="14"/>
      <c r="P4" s="14"/>
      <c r="Q4" s="14"/>
      <c r="R4" s="15"/>
    </row>
    <row r="5" spans="1:18">
      <c r="B5" s="16"/>
      <c r="C5" s="17" t="s">
        <v>431</v>
      </c>
      <c r="D5" s="18"/>
      <c r="E5" s="18"/>
      <c r="F5" s="18"/>
      <c r="G5" s="231" t="s">
        <v>175</v>
      </c>
      <c r="H5" s="18"/>
      <c r="I5" s="18"/>
      <c r="J5" s="19"/>
      <c r="L5" s="16"/>
      <c r="M5" s="33" t="s">
        <v>895</v>
      </c>
      <c r="N5" s="148" t="s">
        <v>873</v>
      </c>
      <c r="O5" s="18"/>
      <c r="P5" s="18"/>
      <c r="Q5" s="42" t="s">
        <v>162</v>
      </c>
      <c r="R5" s="19"/>
    </row>
    <row r="6" spans="1:18">
      <c r="B6" s="16"/>
      <c r="C6" s="33" t="s">
        <v>819</v>
      </c>
      <c r="D6" s="148"/>
      <c r="E6" s="48"/>
      <c r="F6" s="146"/>
      <c r="G6" s="144"/>
      <c r="H6" s="144"/>
      <c r="I6" s="18"/>
      <c r="J6" s="19"/>
      <c r="L6" s="16"/>
      <c r="M6" s="33" t="s">
        <v>897</v>
      </c>
      <c r="N6" s="48">
        <f>IFERROR(VLOOKUP($N$5,Spent4[],2,FALSE),"")</f>
        <v>46</v>
      </c>
      <c r="O6" s="48" t="s">
        <v>894</v>
      </c>
      <c r="P6" s="18"/>
      <c r="Q6" s="18"/>
      <c r="R6" s="19"/>
    </row>
    <row r="7" spans="1:18">
      <c r="B7" s="16"/>
      <c r="C7" s="144" t="s">
        <v>161</v>
      </c>
      <c r="D7" s="226"/>
      <c r="E7" s="48"/>
      <c r="F7" s="144"/>
      <c r="G7" s="48"/>
      <c r="H7" s="144"/>
      <c r="I7" s="42" t="s">
        <v>162</v>
      </c>
      <c r="J7" s="19"/>
      <c r="L7" s="16"/>
      <c r="M7" s="33" t="s">
        <v>896</v>
      </c>
      <c r="N7" s="128">
        <f>IFERROR(VLOOKUP($N$5,Spent4[],3,FALSE),"")</f>
        <v>736.84931525420961</v>
      </c>
      <c r="O7" s="48" t="s">
        <v>906</v>
      </c>
      <c r="P7" s="18"/>
      <c r="Q7" s="18"/>
      <c r="R7" s="19"/>
    </row>
    <row r="8" spans="1:18">
      <c r="B8" s="16"/>
      <c r="C8" s="144" t="s">
        <v>820</v>
      </c>
      <c r="D8" s="225"/>
      <c r="E8" s="63"/>
      <c r="F8" s="63"/>
      <c r="G8" s="47" t="s">
        <v>9</v>
      </c>
      <c r="H8" s="144"/>
      <c r="I8" s="42" t="s">
        <v>162</v>
      </c>
      <c r="J8" s="19"/>
      <c r="L8" s="16"/>
      <c r="M8" s="33" t="s">
        <v>207</v>
      </c>
      <c r="N8" s="48" t="str">
        <f>IFERROR(VLOOKUP($N$5,Spent4[],4,FALSE),"")</f>
        <v>containing 50% moisture</v>
      </c>
      <c r="O8" s="48"/>
      <c r="P8" s="18"/>
      <c r="Q8" s="18"/>
      <c r="R8" s="19"/>
    </row>
    <row r="9" spans="1:18" ht="17" thickBot="1">
      <c r="B9" s="16"/>
      <c r="C9" s="144" t="s">
        <v>821</v>
      </c>
      <c r="D9" s="225"/>
      <c r="E9" s="63"/>
      <c r="F9" s="63"/>
      <c r="G9" s="230" t="s">
        <v>894</v>
      </c>
      <c r="H9" s="144"/>
      <c r="I9" s="42" t="s">
        <v>162</v>
      </c>
      <c r="J9" s="19"/>
      <c r="L9" s="21"/>
      <c r="M9" s="175"/>
      <c r="N9" s="22"/>
      <c r="O9" s="22"/>
      <c r="P9" s="22"/>
      <c r="Q9" s="22"/>
      <c r="R9" s="23"/>
    </row>
    <row r="10" spans="1:18">
      <c r="B10" s="16"/>
      <c r="C10" s="144" t="s">
        <v>1045</v>
      </c>
      <c r="D10" s="227"/>
      <c r="E10" s="48"/>
      <c r="F10" s="144"/>
      <c r="G10" s="48"/>
      <c r="H10" s="144"/>
      <c r="I10" s="42" t="s">
        <v>162</v>
      </c>
      <c r="J10" s="19"/>
    </row>
    <row r="11" spans="1:18">
      <c r="B11" s="16"/>
      <c r="C11" s="144" t="s">
        <v>898</v>
      </c>
      <c r="D11" s="148"/>
      <c r="E11" s="48"/>
      <c r="F11" s="144"/>
      <c r="G11" s="48"/>
      <c r="H11" s="144"/>
      <c r="I11" s="42" t="s">
        <v>162</v>
      </c>
      <c r="J11" s="19"/>
    </row>
    <row r="12" spans="1:18">
      <c r="B12" s="16"/>
      <c r="C12" s="144" t="s">
        <v>1721</v>
      </c>
      <c r="D12" s="148"/>
      <c r="E12" s="48"/>
      <c r="F12" s="146"/>
      <c r="G12" s="48"/>
      <c r="H12" s="18"/>
      <c r="I12" s="42" t="s">
        <v>162</v>
      </c>
      <c r="J12" s="19"/>
    </row>
    <row r="13" spans="1:18">
      <c r="B13" s="16"/>
      <c r="C13" s="145"/>
      <c r="D13" s="147"/>
      <c r="E13" s="147"/>
      <c r="F13" s="147"/>
      <c r="G13" s="147"/>
      <c r="H13" s="147"/>
      <c r="I13" s="18"/>
      <c r="J13" s="19"/>
    </row>
    <row r="14" spans="1:18">
      <c r="B14" s="16"/>
      <c r="C14" s="17" t="s">
        <v>1024</v>
      </c>
      <c r="D14" s="65" t="s">
        <v>39</v>
      </c>
      <c r="E14" s="65" t="s">
        <v>40</v>
      </c>
      <c r="F14" s="65" t="s">
        <v>41</v>
      </c>
      <c r="G14" s="231" t="s">
        <v>175</v>
      </c>
      <c r="H14" s="147"/>
      <c r="I14" s="18"/>
      <c r="J14" s="19"/>
    </row>
    <row r="15" spans="1:18">
      <c r="B15" s="16"/>
      <c r="C15" s="33" t="s">
        <v>1027</v>
      </c>
      <c r="D15" s="327"/>
      <c r="E15" s="65"/>
      <c r="F15" s="65"/>
      <c r="G15" s="231"/>
      <c r="H15" s="147"/>
      <c r="I15" s="18"/>
      <c r="J15" s="19"/>
    </row>
    <row r="16" spans="1:18">
      <c r="B16" s="16"/>
      <c r="C16" s="237" t="s">
        <v>1047</v>
      </c>
      <c r="D16" s="54">
        <f>IFERROR($D$8/100*APWeightPercent/100,"")</f>
        <v>0</v>
      </c>
      <c r="E16" s="233"/>
      <c r="F16" s="233"/>
      <c r="G16" s="48" t="str">
        <f>OutMassUnit&amp;"/"&amp;OutMassUnit&amp;" catalyst"</f>
        <v>lb/lb catalyst</v>
      </c>
      <c r="H16" s="147"/>
      <c r="I16" s="42" t="s">
        <v>162</v>
      </c>
      <c r="J16" s="19"/>
    </row>
    <row r="17" spans="2:10">
      <c r="B17" s="16"/>
      <c r="C17" s="237" t="s">
        <v>831</v>
      </c>
      <c r="D17" s="328" t="str">
        <f>IFERROR(VLOOKUP($D$7,Spent1[],IF($D$10="Fixed Bed",7,IF($D$10="Slurry/Fluidized Bed",13,0)),FALSE),"")</f>
        <v/>
      </c>
      <c r="E17" s="319" t="str">
        <f>IFERROR(VLOOKUP($D$7,Spent1[],IF($D$10="Fixed Bed",5,IF($D$10="Slurry/Fluidized Bed",11,0)),FALSE),"")</f>
        <v/>
      </c>
      <c r="F17" s="319" t="str">
        <f>IFERROR(VLOOKUP($D$7,Spent1[],IF($D$10="Fixed Bed",6,IF($D$10="Slurry/Fluidized Bed",12,0)),FALSE),"")</f>
        <v/>
      </c>
      <c r="G17" s="48" t="s">
        <v>9</v>
      </c>
      <c r="H17" s="18"/>
      <c r="I17" s="42" t="s">
        <v>162</v>
      </c>
      <c r="J17" s="19"/>
    </row>
    <row r="18" spans="2:10">
      <c r="B18" s="16"/>
      <c r="C18" s="237" t="s">
        <v>1049</v>
      </c>
      <c r="D18" s="54" t="str">
        <f>IFERROR(D16*(100-D17)/100,"")</f>
        <v/>
      </c>
      <c r="E18" s="320"/>
      <c r="F18" s="320"/>
      <c r="G18" s="48" t="str">
        <f>OutMassUnit&amp;"/"&amp;OutMassUnit&amp;" catalyst"</f>
        <v>lb/lb catalyst</v>
      </c>
      <c r="H18" s="18"/>
      <c r="I18" s="18"/>
      <c r="J18" s="19"/>
    </row>
    <row r="19" spans="2:10">
      <c r="B19" s="16"/>
      <c r="C19" s="33" t="s">
        <v>1028</v>
      </c>
      <c r="D19" s="329"/>
      <c r="E19" s="135"/>
      <c r="F19" s="135"/>
      <c r="G19" s="145"/>
      <c r="H19" s="18"/>
      <c r="I19" s="18"/>
      <c r="J19" s="19"/>
    </row>
    <row r="20" spans="2:10">
      <c r="B20" s="16"/>
      <c r="C20" s="237" t="s">
        <v>1048</v>
      </c>
      <c r="D20" s="54">
        <f>IFERROR(1-APWeightPercent/100,"")</f>
        <v>0</v>
      </c>
      <c r="E20" s="135"/>
      <c r="F20" s="135"/>
      <c r="G20" s="48" t="str">
        <f>OutMassUnit&amp;"/"&amp;OutMassUnit&amp;" catalyst"</f>
        <v>lb/lb catalyst</v>
      </c>
      <c r="H20" s="18"/>
      <c r="I20" s="18"/>
      <c r="J20" s="19"/>
    </row>
    <row r="21" spans="2:10">
      <c r="B21" s="16"/>
      <c r="C21" s="237" t="s">
        <v>1029</v>
      </c>
      <c r="D21" s="328" t="str">
        <f>IFERROR(VLOOKUP($D$7,Spent1[],IF($D$10="Fixed Bed",4,IF($D$10="Slurry/Fluidized Bed",10,0)),FALSE),"")</f>
        <v/>
      </c>
      <c r="E21" s="319" t="str">
        <f>IFERROR(VLOOKUP($D$7,Spent1[],IF($D$10="Fixed Bed",2,IF($D$10="Slurry/Fluidized Bed",8,0)),FALSE),"")</f>
        <v/>
      </c>
      <c r="F21" s="319" t="str">
        <f>IFERROR(VLOOKUP($D$7,Spent1[],IF($D$10="Fixed Bed",3,IF($D$10="Slurry/Fluidized Bed",9,0)),FALSE),"")</f>
        <v/>
      </c>
      <c r="G21" s="48" t="s">
        <v>9</v>
      </c>
      <c r="H21" s="18"/>
      <c r="I21" s="42" t="s">
        <v>162</v>
      </c>
      <c r="J21" s="19"/>
    </row>
    <row r="22" spans="2:10">
      <c r="B22" s="16"/>
      <c r="C22" s="237" t="s">
        <v>1032</v>
      </c>
      <c r="D22" s="54" t="str">
        <f>IFERROR(D20*(100-D21)/100,"")</f>
        <v/>
      </c>
      <c r="E22" s="18"/>
      <c r="F22" s="18"/>
      <c r="G22" s="48" t="str">
        <f>OutMassUnit&amp;"/"&amp;OutMassUnit&amp;" catalyst"</f>
        <v>lb/lb catalyst</v>
      </c>
      <c r="H22" s="18"/>
      <c r="I22" s="18"/>
      <c r="J22" s="19"/>
    </row>
    <row r="23" spans="2:10">
      <c r="B23" s="16"/>
      <c r="C23" s="33" t="s">
        <v>1030</v>
      </c>
      <c r="D23" s="329"/>
      <c r="E23" s="18"/>
      <c r="F23" s="18"/>
      <c r="G23" s="145"/>
      <c r="H23" s="18"/>
      <c r="I23" s="18"/>
      <c r="J23" s="19"/>
    </row>
    <row r="24" spans="2:10">
      <c r="B24" s="16"/>
      <c r="C24" s="237" t="s">
        <v>1050</v>
      </c>
      <c r="D24" s="54">
        <f>IFERROR(SUM(D18,D22),"")</f>
        <v>0</v>
      </c>
      <c r="E24" s="18"/>
      <c r="F24" s="18"/>
      <c r="G24" s="48" t="str">
        <f>OutMassUnit&amp;"/"&amp;OutMassUnit&amp;" catalyst"</f>
        <v>lb/lb catalyst</v>
      </c>
      <c r="H24" s="18"/>
      <c r="I24" s="18"/>
      <c r="J24" s="19"/>
    </row>
    <row r="25" spans="2:10">
      <c r="B25" s="16"/>
      <c r="C25" s="237" t="s">
        <v>1051</v>
      </c>
      <c r="D25" s="54" t="str">
        <f>IFERROR($D$24*VLOOKUP(OutMassUnit,UnitConv[],5,FALSE)/VLOOKUP("lb",UnitConv[],5,FALSE)/$D$9*IF($G$9="lb/ft3",1,IF($G$9="kg/m3",0.45359237/28.31684659*1000,"")),"")</f>
        <v/>
      </c>
      <c r="E25" s="18"/>
      <c r="F25" s="18"/>
      <c r="G25" s="48" t="str">
        <f>"ft3/"&amp;OutMassUnit&amp;" catalyst"</f>
        <v>ft3/lb catalyst</v>
      </c>
      <c r="H25" s="18"/>
      <c r="I25" s="18"/>
      <c r="J25" s="19"/>
    </row>
    <row r="26" spans="2:10">
      <c r="B26" s="16"/>
      <c r="C26" s="20"/>
      <c r="D26" s="147"/>
      <c r="E26" s="18"/>
      <c r="F26" s="18"/>
      <c r="G26" s="145"/>
      <c r="H26" s="18"/>
      <c r="I26" s="18"/>
      <c r="J26" s="19"/>
    </row>
    <row r="27" spans="2:10">
      <c r="B27" s="16"/>
      <c r="C27" s="17" t="s">
        <v>1031</v>
      </c>
      <c r="D27" s="65" t="s">
        <v>39</v>
      </c>
      <c r="E27" s="65" t="s">
        <v>40</v>
      </c>
      <c r="F27" s="65" t="s">
        <v>41</v>
      </c>
      <c r="G27" s="231" t="s">
        <v>175</v>
      </c>
      <c r="H27" s="18"/>
      <c r="I27" s="18"/>
      <c r="J27" s="19"/>
    </row>
    <row r="28" spans="2:10">
      <c r="B28" s="16"/>
      <c r="C28" s="33" t="s">
        <v>1025</v>
      </c>
      <c r="D28" s="65"/>
      <c r="E28" s="65"/>
      <c r="F28" s="65"/>
      <c r="G28" s="231"/>
      <c r="H28" s="18"/>
      <c r="I28" s="18"/>
      <c r="J28" s="19"/>
    </row>
    <row r="29" spans="2:10">
      <c r="B29" s="16"/>
      <c r="C29" s="237" t="s">
        <v>832</v>
      </c>
      <c r="D29" s="328" t="str">
        <f>IFERROR(VLOOKUP($D$6,Spent2[],4,FALSE),"")</f>
        <v/>
      </c>
      <c r="E29" s="319" t="str">
        <f>IFERROR(VLOOKUP($D$6,Spent2[],2,FALSE),"")</f>
        <v/>
      </c>
      <c r="F29" s="319" t="str">
        <f>IFERROR(VLOOKUP($D$6,Spent2[],3,FALSE),"")</f>
        <v/>
      </c>
      <c r="G29" s="48" t="s">
        <v>9</v>
      </c>
      <c r="H29" s="18"/>
      <c r="I29" s="18"/>
      <c r="J29" s="19"/>
    </row>
    <row r="30" spans="2:10">
      <c r="B30" s="16"/>
      <c r="C30" s="237" t="s">
        <v>822</v>
      </c>
      <c r="D30" s="54" t="str">
        <f>IFERROR(D18*(100-D29)/100,"")</f>
        <v/>
      </c>
      <c r="E30" s="320"/>
      <c r="F30" s="320"/>
      <c r="G30" s="48" t="str">
        <f>OutMassUnit&amp;"/"&amp;OutMassUnit&amp;" catalyst"</f>
        <v>lb/lb catalyst</v>
      </c>
      <c r="H30" s="18"/>
      <c r="I30" s="18"/>
      <c r="J30" s="19"/>
    </row>
    <row r="31" spans="2:10">
      <c r="B31" s="16"/>
      <c r="C31" s="237" t="s">
        <v>908</v>
      </c>
      <c r="D31" s="54" t="str">
        <f>IFERROR(D30*VLOOKUP(OutMassUnit,UnitConv[],5,FALSE)/VLOOKUP("oz t",UnitConv[],5,FALSE),"")</f>
        <v/>
      </c>
      <c r="E31" s="320"/>
      <c r="F31" s="320"/>
      <c r="G31" s="48" t="str">
        <f>"oz t/"&amp;OutMassUnit&amp;" catalyst"</f>
        <v>oz t/lb catalyst</v>
      </c>
      <c r="H31" s="18"/>
      <c r="I31" s="18"/>
      <c r="J31" s="19"/>
    </row>
    <row r="32" spans="2:10">
      <c r="B32" s="16"/>
      <c r="C32" s="237" t="s">
        <v>1069</v>
      </c>
      <c r="D32" s="228" t="str">
        <f>IFERROR(VLOOKUP($D$6,Spent2[],13,FALSE),"")</f>
        <v/>
      </c>
      <c r="E32" s="232"/>
      <c r="F32" s="232"/>
      <c r="G32" s="48" t="str">
        <f>CurrencySymbol&amp;"/"&amp;OutMassUnit&amp;" metal"</f>
        <v>$/lb metal</v>
      </c>
      <c r="H32" s="18"/>
      <c r="I32" s="42" t="s">
        <v>162</v>
      </c>
      <c r="J32" s="19"/>
    </row>
    <row r="33" spans="2:10">
      <c r="B33" s="16"/>
      <c r="C33" s="330" t="s">
        <v>823</v>
      </c>
      <c r="D33" s="333" t="str">
        <f>IFERROR(D30*D32,"")</f>
        <v/>
      </c>
      <c r="E33" s="332"/>
      <c r="F33" s="332"/>
      <c r="G33" s="159" t="str">
        <f>CurrencySymbol&amp;"/"&amp;OutMassUnit&amp;" catalyst"</f>
        <v>$/lb catalyst</v>
      </c>
      <c r="H33" s="18"/>
      <c r="I33" s="18"/>
      <c r="J33" s="19"/>
    </row>
    <row r="34" spans="2:10">
      <c r="B34" s="16"/>
      <c r="C34" s="317" t="s">
        <v>1026</v>
      </c>
      <c r="D34" s="229"/>
      <c r="E34" s="234"/>
      <c r="F34" s="234"/>
      <c r="G34" s="20"/>
      <c r="H34" s="18"/>
      <c r="I34" s="42" t="s">
        <v>162</v>
      </c>
      <c r="J34" s="19"/>
    </row>
    <row r="35" spans="2:10">
      <c r="B35" s="16"/>
      <c r="C35" s="237" t="s">
        <v>824</v>
      </c>
      <c r="D35" s="228" t="str">
        <f>IFERROR(VLOOKUP($D$7,Spent1[],19,FALSE)*$D$25*VLOOKUP(BasisYear,ChemPPI[],14,FALSE)/VLOOKUP(2016,ChemPPI[],14,FALSE),"")</f>
        <v/>
      </c>
      <c r="E35" s="235" t="e">
        <f>IFERROR(VLOOKUP($D$7,Spent1[],17,FALSE)*$D$25,"")*VLOOKUP(BasisYear,ChemPPI[],14,FALSE)/VLOOKUP(2016,ChemPPI[],14,FALSE)</f>
        <v>#VALUE!</v>
      </c>
      <c r="F35" s="235" t="e">
        <f>IFERROR(VLOOKUP($D$7,Spent1[],18,FALSE)*$D$25,"")*VLOOKUP(BasisYear,ChemPPI[],14,FALSE)/VLOOKUP(2016,ChemPPI[],14,FALSE)</f>
        <v>#VALUE!</v>
      </c>
      <c r="G35" s="48" t="str">
        <f>CurrencySymbol&amp;"/"&amp;OutMassUnit&amp;" catalyst"</f>
        <v>$/lb catalyst</v>
      </c>
      <c r="H35" s="18"/>
      <c r="I35" s="42" t="s">
        <v>162</v>
      </c>
      <c r="J35" s="19"/>
    </row>
    <row r="36" spans="2:10">
      <c r="B36" s="16"/>
      <c r="C36" s="237" t="s">
        <v>825</v>
      </c>
      <c r="D36" s="228" t="str">
        <f>IFERROR(VLOOKUP($D$7,Spent1[],16,FALSE)*$D$24*VLOOKUP(OutMassUnit,UnitConv[],5,FALSE)/VLOOKUP("lb",UnitConv[],5,FALSE)*VLOOKUP(BasisYear,ChemPPI[],14,FALSE)/VLOOKUP(2016,ChemPPI[],14,FALSE),"")</f>
        <v/>
      </c>
      <c r="E36" s="235" t="e">
        <f>IFERROR(VLOOKUP($D$7,Spent1[],14,FALSE)*$D$24*VLOOKUP(OutMassUnit,UnitConv[],5,FALSE)/VLOOKUP("lb",UnitConv[],5,FALSE),"")*VLOOKUP(BasisYear,ChemPPI[],14,FALSE)/VLOOKUP(2016,ChemPPI[],14,FALSE)</f>
        <v>#VALUE!</v>
      </c>
      <c r="F36" s="235" t="e">
        <f>IFERROR(VLOOKUP($D$7,Spent1[],15,FALSE)*$D$24*VLOOKUP(OutMassUnit,UnitConv[],5,FALSE)/VLOOKUP("lb",UnitConv[],5,FALSE),"")*VLOOKUP(BasisYear,ChemPPI[],14,FALSE)/VLOOKUP(2016,ChemPPI[],14,FALSE)</f>
        <v>#VALUE!</v>
      </c>
      <c r="G36" s="48" t="str">
        <f>CurrencySymbol&amp;"/"&amp;OutMassUnit&amp;" catalyst"</f>
        <v>$/lb catalyst</v>
      </c>
      <c r="H36" s="18"/>
      <c r="I36" s="42" t="s">
        <v>162</v>
      </c>
      <c r="J36" s="19"/>
    </row>
    <row r="37" spans="2:10">
      <c r="B37" s="16"/>
      <c r="C37" s="237" t="s">
        <v>826</v>
      </c>
      <c r="D37" s="228" t="str">
        <f>IFERROR(VLOOKUP($D$6,Spent2[],5,FALSE)*$D$31*VLOOKUP(BasisYear,ChemPPI[],14,FALSE)/VLOOKUP(2016,ChemPPI[],14,FALSE),"")</f>
        <v/>
      </c>
      <c r="E37" s="232"/>
      <c r="F37" s="232"/>
      <c r="G37" s="48" t="str">
        <f>CurrencySymbol&amp;"/"&amp;OutMassUnit&amp;" catalyst"</f>
        <v>$/lb catalyst</v>
      </c>
      <c r="H37" s="18"/>
      <c r="I37" s="42" t="s">
        <v>162</v>
      </c>
      <c r="J37" s="19"/>
    </row>
    <row r="38" spans="2:10">
      <c r="B38" s="16"/>
      <c r="C38" s="237" t="s">
        <v>827</v>
      </c>
      <c r="D38" s="228" t="str">
        <f>IF($D$11="Yes",IFERROR(VLOOKUP($D$7,Spent1[],22,FALSE)*$D$25*VLOOKUP(BasisYear,ChemPPI[],14,FALSE)/VLOOKUP(2016,ChemPPI[],14,FALSE),""),IF($D$11="No",0,""))</f>
        <v/>
      </c>
      <c r="E38" s="235" t="e">
        <f>IF($D$11="Yes",IFERROR(VLOOKUP($D$7,Spent1[],20,FALSE)*$D$25,""),"")*VLOOKUP(BasisYear,ChemPPI[],14,FALSE)/VLOOKUP(2016,ChemPPI[],14,FALSE)</f>
        <v>#VALUE!</v>
      </c>
      <c r="F38" s="235" t="e">
        <f>IF($D$11="Yes",IFERROR(VLOOKUP($D$7,Spent1[],21,FALSE)*$D$25,""),"")*VLOOKUP(BasisYear,ChemPPI[],14,FALSE)/VLOOKUP(2016,ChemPPI[],14,FALSE)</f>
        <v>#VALUE!</v>
      </c>
      <c r="G38" s="48" t="str">
        <f>CurrencySymbol&amp;"/"&amp;OutMassUnit&amp;" catalyst"</f>
        <v>$/lb catalyst</v>
      </c>
      <c r="H38" s="18"/>
      <c r="I38" s="42" t="s">
        <v>162</v>
      </c>
      <c r="J38" s="19"/>
    </row>
    <row r="39" spans="2:10">
      <c r="B39" s="16"/>
      <c r="C39" s="330" t="s">
        <v>1052</v>
      </c>
      <c r="D39" s="331">
        <f>SUM(D35:D38)</f>
        <v>0</v>
      </c>
      <c r="E39" s="332"/>
      <c r="F39" s="332"/>
      <c r="G39" s="159" t="str">
        <f>CurrencySymbol&amp;"/"&amp;OutMassUnit&amp;" catalyst"</f>
        <v>$/lb catalyst</v>
      </c>
      <c r="H39" s="18"/>
      <c r="I39" s="18"/>
      <c r="J39" s="19"/>
    </row>
    <row r="40" spans="2:10">
      <c r="B40" s="16"/>
      <c r="C40" s="20"/>
      <c r="D40" s="147"/>
      <c r="E40" s="18"/>
      <c r="F40" s="18"/>
      <c r="G40" s="145"/>
      <c r="H40" s="18"/>
      <c r="I40" s="18"/>
      <c r="J40" s="19"/>
    </row>
    <row r="41" spans="2:10">
      <c r="B41" s="16"/>
      <c r="C41" s="17" t="s">
        <v>828</v>
      </c>
      <c r="D41" s="147"/>
      <c r="E41" s="18"/>
      <c r="F41" s="18"/>
      <c r="G41" s="145"/>
      <c r="H41" s="18"/>
      <c r="I41" s="18"/>
      <c r="J41" s="19"/>
    </row>
    <row r="42" spans="2:10">
      <c r="B42" s="16"/>
      <c r="C42" s="20" t="s">
        <v>829</v>
      </c>
      <c r="D42" s="362" t="str">
        <f>IFERROR(-VLOOKUP($D$12,Spent3[],4,FALSE)*$D$24*VLOOKUP(OutMassUnit,UnitConv[],5,FALSE)/VLOOKUP("lb",UnitConv[],5,FALSE)*VLOOKUP(BasisYear,ChemPPI[],14,FALSE)/VLOOKUP(2016,ChemPPI[],14,FALSE),"")</f>
        <v/>
      </c>
      <c r="E42" s="362" t="e">
        <f>IFERROR(-VLOOKUP($D$12,Spent3[],2,FALSE)*$D$24*VLOOKUP(OutMassUnit,UnitConv[],5,FALSE)/VLOOKUP("lb",UnitConv[],5,FALSE),"")*VLOOKUP(BasisYear,ChemPPI[],14,FALSE)/VLOOKUP(2016,ChemPPI[],14,FALSE)</f>
        <v>#VALUE!</v>
      </c>
      <c r="F42" s="362" t="e">
        <f>IFERROR(-VLOOKUP($D$12,Spent3[],3,FALSE)*$D$24*VLOOKUP(OutMassUnit,UnitConv[],5,FALSE)/VLOOKUP("lb",UnitConv[],5,FALSE),"")*VLOOKUP(BasisYear,ChemPPI[],14,FALSE)/VLOOKUP(2016,ChemPPI[],14,FALSE)</f>
        <v>#VALUE!</v>
      </c>
      <c r="G42" s="20" t="str">
        <f>CurrencySymbol&amp;"/"&amp;OutMassUnit&amp;" catalyst"</f>
        <v>$/lb catalyst</v>
      </c>
      <c r="H42" s="18"/>
      <c r="I42" s="18"/>
      <c r="J42" s="19"/>
    </row>
    <row r="43" spans="2:10">
      <c r="B43" s="16"/>
      <c r="C43" s="20" t="s">
        <v>830</v>
      </c>
      <c r="D43" s="362" t="str">
        <f>IFERROR(VLOOKUP($D$12,Spent3[],7,FALSE)*$D$24*VLOOKUP(OutMassUnit,UnitConv[],5,FALSE)/VLOOKUP("lb",UnitConv[],5,FALSE)*VLOOKUP(BasisYear,ChemPPI[],14,FALSE)/VLOOKUP(2016,ChemPPI[],14,FALSE),"")</f>
        <v/>
      </c>
      <c r="E43" s="362" t="e">
        <f>IFERROR(VLOOKUP($D$12,Spent3[],5,FALSE)*$D$24*VLOOKUP(OutMassUnit,UnitConv[],5,FALSE)/VLOOKUP("lb",UnitConv[],5,FALSE),"")*VLOOKUP(BasisYear,ChemPPI[],14,FALSE)/VLOOKUP(2016,ChemPPI[],14,FALSE)</f>
        <v>#VALUE!</v>
      </c>
      <c r="F43" s="362" t="e">
        <f>IFERROR(VLOOKUP($D$12,Spent3[],6,FALSE)*$D$24*VLOOKUP(OutMassUnit,UnitConv[],5,FALSE)/VLOOKUP("lb",UnitConv[],5,FALSE),"")*VLOOKUP(BasisYear,ChemPPI[],14,FALSE)/VLOOKUP(2016,ChemPPI[],14,FALSE)</f>
        <v>#VALUE!</v>
      </c>
      <c r="G43" s="20" t="str">
        <f>CurrencySymbol&amp;"/"&amp;OutMassUnit&amp;" catalyst"</f>
        <v>$/lb catalyst</v>
      </c>
      <c r="H43" s="18"/>
      <c r="I43" s="18"/>
      <c r="J43" s="19"/>
    </row>
    <row r="44" spans="2:10">
      <c r="B44" s="16"/>
      <c r="C44" s="20"/>
      <c r="D44" s="147"/>
      <c r="E44" s="18"/>
      <c r="F44" s="18"/>
      <c r="G44" s="145"/>
      <c r="H44" s="18"/>
      <c r="I44" s="18"/>
      <c r="J44" s="19"/>
    </row>
    <row r="45" spans="2:10">
      <c r="B45" s="16"/>
      <c r="C45" s="360" t="s">
        <v>1118</v>
      </c>
      <c r="D45" s="361" t="str">
        <f>IFERROR(IF(COUNTBLANK(D6:D12)+COUNTBLANK(G9)&gt;0,"&gt;&gt;&gt; Complete Inputs &lt;&lt;&lt;",IF(D43&lt;&gt;0,IF(D33-D39&gt;D43,"Metals Recovery","Sale"),IF(D33-D39&gt;D43,"Metals Recovery","Landfill"))),"")</f>
        <v>&gt;&gt;&gt; Complete Inputs &lt;&lt;&lt;</v>
      </c>
      <c r="E45" s="18"/>
      <c r="F45" s="18"/>
      <c r="G45" s="145"/>
      <c r="H45" s="18"/>
      <c r="I45" s="18"/>
      <c r="J45" s="19"/>
    </row>
    <row r="46" spans="2:10">
      <c r="B46" s="16"/>
      <c r="C46" s="20"/>
      <c r="D46" s="147"/>
      <c r="E46" s="18"/>
      <c r="F46" s="18"/>
      <c r="G46" s="145"/>
      <c r="H46" s="18"/>
      <c r="I46" s="18"/>
      <c r="J46" s="19"/>
    </row>
    <row r="47" spans="2:10" ht="17" thickBot="1">
      <c r="B47" s="16"/>
      <c r="C47" s="158" t="s">
        <v>1053</v>
      </c>
      <c r="D47" s="334" t="str">
        <f>IFERROR(IF(COUNTBLANK(D6:D12)+COUNTBLANK(G9)&gt;0,"&gt;&gt;&gt; Complete Inputs &lt;&lt;&lt;",IF(D43&lt;&gt;0,MAX(D43,D33-D39),MAX(D42,D33-D39))),"")</f>
        <v>&gt;&gt;&gt; Complete Inputs &lt;&lt;&lt;</v>
      </c>
      <c r="E47" s="335"/>
      <c r="F47" s="335"/>
      <c r="G47" s="158" t="str">
        <f>CurrencySymbol&amp;"/"&amp;OutMassUnit&amp;" catalyst"</f>
        <v>$/lb catalyst</v>
      </c>
      <c r="H47" s="18"/>
      <c r="I47" s="18"/>
      <c r="J47" s="19"/>
    </row>
    <row r="48" spans="2:10" ht="18" thickTop="1" thickBot="1">
      <c r="B48" s="21"/>
      <c r="C48" s="22"/>
      <c r="D48" s="22"/>
      <c r="E48" s="22"/>
      <c r="F48" s="22"/>
      <c r="G48" s="22"/>
      <c r="H48" s="22"/>
      <c r="I48" s="22"/>
      <c r="J48" s="23"/>
    </row>
  </sheetData>
  <mergeCells count="2">
    <mergeCell ref="B3:D3"/>
    <mergeCell ref="L3:N3"/>
  </mergeCells>
  <conditionalFormatting sqref="D6:D12 G9 N5">
    <cfRule type="containsBlanks" dxfId="114" priority="8">
      <formula>LEN(TRIM(D5))=0</formula>
    </cfRule>
  </conditionalFormatting>
  <dataValidations count="7">
    <dataValidation type="list" allowBlank="1" showInputMessage="1" showErrorMessage="1" sqref="D6" xr:uid="{00000000-0002-0000-0900-000000000000}">
      <formula1>SpentMetals</formula1>
    </dataValidation>
    <dataValidation type="list" allowBlank="1" showInputMessage="1" showErrorMessage="1" sqref="D7" xr:uid="{00000000-0002-0000-0900-000001000000}">
      <formula1>SpentSupports</formula1>
    </dataValidation>
    <dataValidation type="list" allowBlank="1" showInputMessage="1" showErrorMessage="1" sqref="D10" xr:uid="{00000000-0002-0000-0900-000002000000}">
      <formula1>"Fixed Bed,Slurry/Fluidized Bed"</formula1>
    </dataValidation>
    <dataValidation type="list" allowBlank="1" showInputMessage="1" showErrorMessage="1" sqref="D11" xr:uid="{00000000-0002-0000-0900-000003000000}">
      <formula1>"No,Yes"</formula1>
    </dataValidation>
    <dataValidation type="list" allowBlank="1" showInputMessage="1" showErrorMessage="1" sqref="N5" xr:uid="{00000000-0002-0000-0900-000004000000}">
      <formula1>SpentDensNames</formula1>
    </dataValidation>
    <dataValidation type="list" allowBlank="1" showInputMessage="1" showErrorMessage="1" sqref="G9" xr:uid="{00000000-0002-0000-0900-000005000000}">
      <formula1>"lb/ft3,kg/m3"</formula1>
    </dataValidation>
    <dataValidation type="list" allowBlank="1" showInputMessage="1" showErrorMessage="1" sqref="D12" xr:uid="{00000000-0002-0000-0900-000006000000}">
      <formula1>SpentHazNames</formula1>
    </dataValidation>
  </dataValidations>
  <pageMargins left="0.7" right="0.7" top="0.75" bottom="0.75" header="0.3" footer="0.3"/>
  <pageSetup orientation="portrait" horizontalDpi="0" verticalDpi="0"/>
  <ignoredErrors>
    <ignoredError sqref="A1:XFD5 A13:XFD1048576 A6:C6 E6:XFD6 A7:C7 E7:XFD7 A8:C8 E8:XFD8 A9:C9 E9:XFD9 A10:C10 E10:XFD10 A11:C11 E11:XFD11 A12:C12 E12:XFD12" emptyCellReference="1"/>
  </ignoredErrors>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249977111117893"/>
  </sheetPr>
  <dimension ref="B1:R128"/>
  <sheetViews>
    <sheetView workbookViewId="0">
      <pane ySplit="1" topLeftCell="A2" activePane="bottomLeft" state="frozenSplit"/>
      <selection pane="bottomLeft"/>
    </sheetView>
  </sheetViews>
  <sheetFormatPr baseColWidth="10" defaultColWidth="10.83203125" defaultRowHeight="16"/>
  <cols>
    <col min="1" max="2" width="2.5" style="50" customWidth="1"/>
    <col min="3" max="3" width="36.1640625" style="50" bestFit="1" customWidth="1"/>
    <col min="4" max="4" width="16.83203125" style="50" customWidth="1"/>
    <col min="5" max="5" width="19.5" style="50" customWidth="1"/>
    <col min="6" max="6" width="2.5" style="50" customWidth="1"/>
    <col min="7" max="16384" width="10.83203125" style="50"/>
  </cols>
  <sheetData>
    <row r="1" spans="2:18" s="10" customFormat="1" ht="24" customHeight="1">
      <c r="B1" s="108" t="str">
        <f>"CatCost v"&amp;Version&amp;": "&amp;EstimateName</f>
        <v>CatCost v1.0.0: FCC RE USY</v>
      </c>
      <c r="G1" s="109"/>
      <c r="H1" s="110"/>
      <c r="I1" s="110"/>
      <c r="J1" s="110"/>
      <c r="K1" s="110"/>
      <c r="L1" s="110"/>
      <c r="M1" s="110"/>
      <c r="N1" s="110"/>
      <c r="O1" s="110"/>
      <c r="P1" s="110"/>
      <c r="Q1" s="109"/>
      <c r="R1" s="110"/>
    </row>
    <row r="2" spans="2:18" s="11" customFormat="1" ht="17" thickBot="1"/>
    <row r="3" spans="2:18" ht="21" thickBot="1">
      <c r="B3" s="417" t="s">
        <v>423</v>
      </c>
      <c r="C3" s="418"/>
      <c r="D3" s="419"/>
    </row>
    <row r="4" spans="2:18">
      <c r="B4" s="153"/>
      <c r="C4" s="154"/>
      <c r="D4" s="154"/>
      <c r="E4" s="154"/>
      <c r="F4" s="155"/>
    </row>
    <row r="5" spans="2:18">
      <c r="B5" s="32"/>
      <c r="C5" s="17" t="s">
        <v>971</v>
      </c>
      <c r="D5" s="33"/>
      <c r="E5" s="33"/>
      <c r="F5" s="34"/>
    </row>
    <row r="6" spans="2:18">
      <c r="B6" s="32"/>
      <c r="C6" s="33" t="s">
        <v>1023</v>
      </c>
      <c r="D6" s="43" t="s">
        <v>409</v>
      </c>
      <c r="E6" s="33"/>
      <c r="F6" s="34"/>
    </row>
    <row r="7" spans="2:18">
      <c r="B7" s="32"/>
      <c r="C7" s="20"/>
      <c r="D7" s="33"/>
      <c r="E7" s="33"/>
      <c r="F7" s="34"/>
    </row>
    <row r="8" spans="2:18">
      <c r="B8" s="32"/>
      <c r="C8" s="17" t="s">
        <v>970</v>
      </c>
      <c r="D8" s="33"/>
      <c r="E8" s="33"/>
      <c r="F8" s="34"/>
    </row>
    <row r="9" spans="2:18">
      <c r="B9" s="32"/>
      <c r="C9" s="33" t="s">
        <v>1811</v>
      </c>
      <c r="D9" s="43" t="s">
        <v>122</v>
      </c>
      <c r="E9" s="33"/>
      <c r="F9" s="34"/>
    </row>
    <row r="10" spans="2:18" ht="17" thickBot="1">
      <c r="B10" s="39"/>
      <c r="C10" s="175"/>
      <c r="D10" s="176"/>
      <c r="E10" s="175"/>
      <c r="F10" s="41"/>
    </row>
    <row r="11" spans="2:18" hidden="1">
      <c r="B11" s="32"/>
      <c r="C11" s="33"/>
      <c r="D11" s="33"/>
      <c r="E11" s="33"/>
      <c r="F11" s="34"/>
    </row>
    <row r="12" spans="2:18" ht="20" hidden="1">
      <c r="B12" s="32"/>
      <c r="C12" s="435" t="s">
        <v>1826</v>
      </c>
      <c r="D12" s="435"/>
      <c r="E12" s="435"/>
      <c r="F12" s="34"/>
    </row>
    <row r="13" spans="2:18" ht="21" hidden="1" thickBot="1">
      <c r="B13" s="32"/>
      <c r="C13" s="434" t="str">
        <f>IF(EstimateName="","",EstimateName)</f>
        <v>FCC RE USY</v>
      </c>
      <c r="D13" s="434"/>
      <c r="E13" s="434"/>
      <c r="F13" s="34"/>
    </row>
    <row r="14" spans="2:18" hidden="1">
      <c r="B14" s="32"/>
      <c r="C14" s="20"/>
      <c r="D14" s="20"/>
      <c r="E14" s="20"/>
      <c r="F14" s="34"/>
    </row>
    <row r="15" spans="2:18" hidden="1">
      <c r="B15" s="32"/>
      <c r="C15" s="159" t="s">
        <v>975</v>
      </c>
      <c r="D15" s="159">
        <f>IF(BasisYear="","-----",BasisYear)</f>
        <v>2016</v>
      </c>
      <c r="E15" s="159"/>
      <c r="F15" s="34"/>
    </row>
    <row r="16" spans="2:18" hidden="1">
      <c r="B16" s="32"/>
      <c r="C16" s="360" t="s">
        <v>1812</v>
      </c>
      <c r="D16" s="360" t="str">
        <f>IF(StepOrderSize="","-----",StepOrderSize)</f>
        <v>-----</v>
      </c>
      <c r="E16" s="360" t="s">
        <v>1813</v>
      </c>
      <c r="F16" s="34"/>
    </row>
    <row r="17" spans="2:6" hidden="1">
      <c r="B17" s="32"/>
      <c r="C17" s="33"/>
      <c r="D17" s="33"/>
      <c r="E17" s="33"/>
      <c r="F17" s="34"/>
    </row>
    <row r="18" spans="2:6" hidden="1">
      <c r="B18" s="32"/>
      <c r="C18" s="17" t="s">
        <v>390</v>
      </c>
      <c r="D18" s="162" t="s">
        <v>422</v>
      </c>
      <c r="E18" s="162" t="s">
        <v>972</v>
      </c>
      <c r="F18" s="34"/>
    </row>
    <row r="19" spans="2:6" hidden="1">
      <c r="B19" s="32"/>
      <c r="C19" s="33"/>
      <c r="D19" s="163" t="str">
        <f>IF($D$6="","Choose $ or ¢",IF($D$6="Cents","¢/"&amp;OutMassUnit&amp;" catalyst",CurrencySymbol&amp;"/"&amp;OutMassUnit&amp;" catalyst"))</f>
        <v>$/lb catalyst</v>
      </c>
      <c r="E19" s="163" t="str">
        <f>"$ for "&amp;StepOrderSize&amp;" tons"</f>
        <v>$ for  tons</v>
      </c>
      <c r="F19" s="34"/>
    </row>
    <row r="20" spans="2:6" hidden="1">
      <c r="B20" s="32"/>
      <c r="C20" s="17" t="s">
        <v>1803</v>
      </c>
      <c r="D20" s="163"/>
      <c r="E20" s="163"/>
      <c r="F20" s="34"/>
    </row>
    <row r="21" spans="2:6" hidden="1">
      <c r="B21" s="32"/>
      <c r="C21" s="33" t="s">
        <v>398</v>
      </c>
      <c r="D21" s="286">
        <f>IF($D$6="","Choose $ or ¢",IF($D$6="Cents",100,1)*MaterialsUnitCost)</f>
        <v>0.36294109999999996</v>
      </c>
      <c r="E21" s="283" t="str">
        <f>IFERROR(D21*StepOrderSizeOut,"")</f>
        <v/>
      </c>
      <c r="F21" s="34"/>
    </row>
    <row r="22" spans="2:6" hidden="1">
      <c r="B22" s="32"/>
      <c r="C22" s="237" t="s">
        <v>981</v>
      </c>
      <c r="D22" s="286">
        <f>IF($D$6="","Choose $ or ¢",IF($D$6="Cents",100,1)*(MaterialsUnitCost-IFERROR(IF(VLOOKUP('4 Spent Catalyst'!$D$6,Spent2[],6,FALSE)="Yes",'4 Spent Catalyst'!$D$16*'4 Spent Catalyst'!$D$32,0),0)))</f>
        <v>0.36294109999999996</v>
      </c>
      <c r="E22" s="283" t="str">
        <f>IFERROR(D22*StepOrderSizeOut,"")</f>
        <v/>
      </c>
      <c r="F22" s="34"/>
    </row>
    <row r="23" spans="2:6" hidden="1">
      <c r="B23" s="32"/>
      <c r="C23" s="399" t="s">
        <v>974</v>
      </c>
      <c r="D23" s="287" t="str">
        <f ca="1">IF($D$6="","Choose $ or ¢",IFERROR(IF($D$6="Cents",100,1)*StepUnitTotal,""))</f>
        <v/>
      </c>
      <c r="E23" s="284" t="str">
        <f ca="1">IFERROR(D23*StepOrderSizeOut,"")</f>
        <v/>
      </c>
      <c r="F23" s="34"/>
    </row>
    <row r="24" spans="2:6" hidden="1">
      <c r="B24" s="32"/>
      <c r="C24" s="20" t="s">
        <v>1805</v>
      </c>
      <c r="D24" s="288" t="str">
        <f ca="1">IFERROR(D21+D23,"")</f>
        <v/>
      </c>
      <c r="E24" s="169" t="str">
        <f ca="1">IFERROR(D24*StepOrderSizeOut,"")</f>
        <v/>
      </c>
      <c r="F24" s="34"/>
    </row>
    <row r="25" spans="2:6" hidden="1">
      <c r="B25" s="32"/>
      <c r="C25" s="139" t="s">
        <v>1807</v>
      </c>
      <c r="D25" s="288" t="str">
        <f ca="1">IFERROR(D22+D23,"")</f>
        <v/>
      </c>
      <c r="E25" s="169" t="str">
        <f ca="1">IFERROR(D25*StepOrderSizeOut,"")</f>
        <v/>
      </c>
      <c r="F25" s="34"/>
    </row>
    <row r="26" spans="2:6" hidden="1">
      <c r="B26" s="32"/>
      <c r="C26" s="33"/>
      <c r="D26" s="286"/>
      <c r="E26" s="283"/>
      <c r="F26" s="34"/>
    </row>
    <row r="27" spans="2:6" hidden="1">
      <c r="B27" s="32"/>
      <c r="C27" s="17" t="s">
        <v>1809</v>
      </c>
      <c r="D27" s="33"/>
      <c r="E27" s="33"/>
      <c r="F27" s="34"/>
    </row>
    <row r="28" spans="2:6" hidden="1">
      <c r="B28" s="32"/>
      <c r="C28" s="33" t="s">
        <v>1808</v>
      </c>
      <c r="D28" s="33"/>
      <c r="E28" s="33"/>
      <c r="F28" s="34"/>
    </row>
    <row r="29" spans="2:6" hidden="1">
      <c r="B29" s="32"/>
      <c r="C29" s="237" t="s">
        <v>1751</v>
      </c>
      <c r="D29" s="286" t="str">
        <f ca="1">IFERROR(StepGnA/100*D25,"")</f>
        <v/>
      </c>
      <c r="E29" s="283" t="str">
        <f ca="1">IFERROR(D29*StepOrderSizeOut,"")</f>
        <v/>
      </c>
      <c r="F29" s="34"/>
    </row>
    <row r="30" spans="2:6" hidden="1">
      <c r="B30" s="32"/>
      <c r="C30" s="237" t="s">
        <v>1804</v>
      </c>
      <c r="D30" s="286" t="str">
        <f ca="1">IFERROR(StepSARD/100*(D25+D29),"")</f>
        <v/>
      </c>
      <c r="E30" s="283" t="str">
        <f ca="1">IFERROR(D30*StepOrderSizeOut,"")</f>
        <v/>
      </c>
      <c r="F30" s="34"/>
    </row>
    <row r="31" spans="2:6" hidden="1">
      <c r="B31" s="32"/>
      <c r="C31" s="285" t="s">
        <v>915</v>
      </c>
      <c r="D31" s="287" t="str">
        <f ca="1">IFERROR(StepMargin/100*(D25+D29+D30),"")</f>
        <v/>
      </c>
      <c r="E31" s="284" t="str">
        <f ca="1">IFERROR(D31*StepOrderSizeOut,"")</f>
        <v/>
      </c>
      <c r="F31" s="34"/>
    </row>
    <row r="32" spans="2:6" hidden="1">
      <c r="B32" s="32"/>
      <c r="C32" s="20" t="s">
        <v>1810</v>
      </c>
      <c r="D32" s="288">
        <f ca="1">SUM(D29:D31)</f>
        <v>0</v>
      </c>
      <c r="E32" s="169" t="str">
        <f ca="1">IFERROR(D32*StepOrderSizeOut,"")</f>
        <v/>
      </c>
      <c r="F32" s="34"/>
    </row>
    <row r="33" spans="2:6" hidden="1">
      <c r="B33" s="32"/>
      <c r="C33" s="20"/>
      <c r="D33" s="168"/>
      <c r="E33" s="169"/>
      <c r="F33" s="34"/>
    </row>
    <row r="34" spans="2:6" ht="17" hidden="1" thickBot="1">
      <c r="B34" s="32"/>
      <c r="C34" s="158" t="s">
        <v>414</v>
      </c>
      <c r="D34" s="160" t="str">
        <f ca="1">IFERROR(D24+D32,"")</f>
        <v/>
      </c>
      <c r="E34" s="161" t="str">
        <f ca="1">IFERROR(D34*StepOrderSizeOut,"")</f>
        <v/>
      </c>
      <c r="F34" s="34"/>
    </row>
    <row r="35" spans="2:6" ht="17" hidden="1" thickTop="1">
      <c r="B35" s="32"/>
      <c r="C35" s="20"/>
      <c r="D35" s="157"/>
      <c r="E35" s="140"/>
      <c r="F35" s="34"/>
    </row>
    <row r="36" spans="2:6" hidden="1">
      <c r="B36" s="32"/>
      <c r="C36" s="20" t="s">
        <v>979</v>
      </c>
      <c r="D36" s="219">
        <f>IF($D$6="","Choose $ or ¢",IFERROR(IF($D$6="Cents",100,1)*SpentValue,0))</f>
        <v>0</v>
      </c>
      <c r="E36" s="220" t="str">
        <f>IFERROR(D36*StepOrderSizeOut,"")</f>
        <v/>
      </c>
      <c r="F36" s="34"/>
    </row>
    <row r="37" spans="2:6" ht="17" hidden="1" thickBot="1">
      <c r="B37" s="32"/>
      <c r="C37" s="158" t="s">
        <v>980</v>
      </c>
      <c r="D37" s="160" t="str">
        <f ca="1">IFERROR(D34-D36,"")</f>
        <v/>
      </c>
      <c r="E37" s="161" t="str">
        <f ca="1">IFERROR(D37*StepOrderSizeOut,"")</f>
        <v/>
      </c>
      <c r="F37" s="34"/>
    </row>
    <row r="38" spans="2:6" ht="18" hidden="1" thickTop="1" thickBot="1">
      <c r="B38" s="39"/>
      <c r="C38" s="40"/>
      <c r="D38" s="40"/>
      <c r="E38" s="40"/>
      <c r="F38" s="41"/>
    </row>
    <row r="39" spans="2:6">
      <c r="B39" s="32"/>
      <c r="C39" s="33"/>
      <c r="D39" s="33"/>
      <c r="E39" s="33"/>
      <c r="F39" s="34"/>
    </row>
    <row r="40" spans="2:6" ht="20">
      <c r="B40" s="32"/>
      <c r="C40" s="435" t="s">
        <v>1827</v>
      </c>
      <c r="D40" s="435"/>
      <c r="E40" s="435"/>
      <c r="F40" s="34"/>
    </row>
    <row r="41" spans="2:6" ht="21" thickBot="1">
      <c r="B41" s="32"/>
      <c r="C41" s="434" t="str">
        <f>IF(EstimateName="","",EstimateName)</f>
        <v>FCC RE USY</v>
      </c>
      <c r="D41" s="434"/>
      <c r="E41" s="434"/>
      <c r="F41" s="34"/>
    </row>
    <row r="42" spans="2:6">
      <c r="B42" s="32"/>
      <c r="C42" s="20"/>
      <c r="D42" s="174"/>
      <c r="E42" s="20"/>
      <c r="F42" s="34"/>
    </row>
    <row r="43" spans="2:6">
      <c r="B43" s="32"/>
      <c r="C43" s="159" t="s">
        <v>975</v>
      </c>
      <c r="D43" s="159">
        <f>IF(BasisYear="","-----",BasisYear)</f>
        <v>2016</v>
      </c>
      <c r="E43" s="159"/>
      <c r="F43" s="34"/>
    </row>
    <row r="44" spans="2:6">
      <c r="B44" s="32"/>
      <c r="C44" s="20" t="s">
        <v>12</v>
      </c>
      <c r="D44" s="174">
        <f>IF('1 Inputs'!$K$37=0,"-----",'1 Inputs'!$K$37)</f>
        <v>100000000</v>
      </c>
      <c r="E44" s="20" t="str">
        <f>IF(OutMassUnit="","",OutMassUnit)</f>
        <v>lb</v>
      </c>
      <c r="F44" s="34"/>
    </row>
    <row r="45" spans="2:6">
      <c r="B45" s="32"/>
      <c r="C45" s="360" t="s">
        <v>14</v>
      </c>
      <c r="D45" s="401">
        <f>IF(ActualProduction=0,"-----",ActualProduction)</f>
        <v>100000000</v>
      </c>
      <c r="E45" s="360" t="str">
        <f>IF(OutMassUnit="","",OutMassUnit)</f>
        <v>lb</v>
      </c>
      <c r="F45" s="34"/>
    </row>
    <row r="46" spans="2:6">
      <c r="B46" s="32"/>
      <c r="C46" s="33"/>
      <c r="D46" s="33"/>
      <c r="E46" s="33"/>
      <c r="F46" s="34"/>
    </row>
    <row r="47" spans="2:6">
      <c r="B47" s="32"/>
      <c r="C47" s="17" t="s">
        <v>390</v>
      </c>
      <c r="D47" s="162" t="s">
        <v>422</v>
      </c>
      <c r="E47" s="162" t="str">
        <f>IF($D$9="","Enter time interval",$D$9&amp;" Cost")</f>
        <v>Annual Cost</v>
      </c>
      <c r="F47" s="34"/>
    </row>
    <row r="48" spans="2:6">
      <c r="B48" s="32"/>
      <c r="C48" s="33"/>
      <c r="D48" s="163" t="str">
        <f>IF($D$6="","Choose $ or ¢",IF($D$6="Cents","¢/"&amp;OutMassUnit&amp;" catalyst",CurrencySymbol&amp;"/"&amp;OutMassUnit&amp;" catalyst"))</f>
        <v>$/lb catalyst</v>
      </c>
      <c r="E48" s="163" t="str">
        <f>IF($D$9="","Enter time interval",IF($D$9="Annual",CurrencySymbol&amp;"/year",IF($D$9="Monthly",CurrencySymbol&amp;"/month",IF($D$9="Weekly",CurrencySymbol&amp;"/week",IF($D$9="Daily",CurrencySymbol&amp;"/day","")))))</f>
        <v>$/year</v>
      </c>
      <c r="F48" s="34"/>
    </row>
    <row r="49" spans="2:6">
      <c r="B49" s="32"/>
      <c r="C49" s="17" t="str">
        <f>"Capital Costs ("&amp;PlantLife&amp;"-year plant life)"</f>
        <v>Capital Costs (10-year plant life)</v>
      </c>
      <c r="D49" s="35"/>
      <c r="E49" s="35"/>
      <c r="F49" s="34"/>
    </row>
    <row r="50" spans="2:6">
      <c r="B50" s="32"/>
      <c r="C50" s="138" t="s">
        <v>391</v>
      </c>
      <c r="D50" s="164">
        <f ca="1">IF($D$6="","Choose $ or ¢",IFERROR(IF($D$6="Cents",100,1)*FCI/PlantLife/ActualProduction,""))</f>
        <v>0.12503495563688871</v>
      </c>
      <c r="E50" s="165">
        <f ca="1">IF($D$9="","Enter time interval",IFERROR(IF($D$9="Annual",1,IF($D$9="Monthly",1/12,IF($D$9="Weekly",1/52,IF($D$9="Daily",1/365,0))))*FCI/PlantLife,""))</f>
        <v>12503495.563688871</v>
      </c>
      <c r="F50" s="34"/>
    </row>
    <row r="51" spans="2:6">
      <c r="B51" s="32"/>
      <c r="C51" s="149" t="s">
        <v>206</v>
      </c>
      <c r="D51" s="166">
        <f ca="1">IF($D$6="","Choose $ or ¢",IFERROR(IF($D$6="Cents",100,1)*WorkingCapital/PlantLife/ActualProduction,""))</f>
        <v>2.0290116388778159E-2</v>
      </c>
      <c r="E51" s="167">
        <f ca="1">IF($D$9="","Enter time interval",IFERROR(IF($D$9="Annual",1,IF($D$9="Monthly",1/12,IF($D$9="Weekly",1/52,IF($D$9="Daily",1/365,0))))*WorkingCapital/PlantLife,""))</f>
        <v>2029011.6388778158</v>
      </c>
      <c r="F51" s="34"/>
    </row>
    <row r="52" spans="2:6">
      <c r="B52" s="32"/>
      <c r="C52" s="20" t="s">
        <v>411</v>
      </c>
      <c r="D52" s="168">
        <f ca="1">SUM(D50:D51)</f>
        <v>0.14532507202566686</v>
      </c>
      <c r="E52" s="169">
        <f ca="1">SUM(E50:E51)</f>
        <v>14532507.202566687</v>
      </c>
      <c r="F52" s="34"/>
    </row>
    <row r="53" spans="2:6">
      <c r="B53" s="32"/>
      <c r="C53" s="33"/>
      <c r="D53" s="35"/>
      <c r="E53" s="35"/>
      <c r="F53" s="34"/>
    </row>
    <row r="54" spans="2:6">
      <c r="B54" s="32"/>
      <c r="C54" s="17" t="s">
        <v>412</v>
      </c>
      <c r="D54" s="35"/>
      <c r="E54" s="35"/>
      <c r="F54" s="34"/>
    </row>
    <row r="55" spans="2:6">
      <c r="B55" s="32"/>
      <c r="C55" s="18" t="s">
        <v>397</v>
      </c>
      <c r="D55" s="164"/>
      <c r="E55" s="165"/>
      <c r="F55" s="34"/>
    </row>
    <row r="56" spans="2:6">
      <c r="B56" s="32"/>
      <c r="C56" s="124" t="s">
        <v>398</v>
      </c>
      <c r="D56" s="164">
        <f>IFERROR(IF($D$6="","Choose $ or ¢",IF($D$6="Cents",100,1)*MaterialsUnitCost),"")</f>
        <v>0.36294109999999996</v>
      </c>
      <c r="E56" s="165">
        <f>IFERROR(IF($D$9="","Enter time interval",IF($D$9="Annual",1,IF($D$9="Monthly",1/12,IF($D$9="Weekly",1/52,IF($D$9="Daily",1/365,0))))*MaterialsAnnualCost),"")</f>
        <v>36294110</v>
      </c>
      <c r="F56" s="34"/>
    </row>
    <row r="57" spans="2:6">
      <c r="B57" s="32"/>
      <c r="C57" s="124" t="s">
        <v>399</v>
      </c>
      <c r="D57" s="164">
        <f ca="1">IFERROR(IF($D$6="","Choose $ or ¢",IF($D$6="Cents",100,1)*UtilitiesUnitCost),"")</f>
        <v>5.1211417322834643E-2</v>
      </c>
      <c r="E57" s="165">
        <f ca="1">IFERROR(IF($D$9="","Enter time interval",IF($D$9="Annual",1,IF($D$9="Monthly",1/12,IF($D$9="Weekly",1/52,IF($D$9="Daily",1/365,0))))*UtilitiesAnnualCost),"")</f>
        <v>5121141.7322834646</v>
      </c>
      <c r="F57" s="34"/>
    </row>
    <row r="58" spans="2:6">
      <c r="B58" s="32"/>
      <c r="C58" s="124" t="s">
        <v>400</v>
      </c>
      <c r="D58" s="164">
        <f ca="1">IFERROR(IF($D$6="","Choose $ or ¢",IF($D$6="Cents",100,1)*LSM/ActualProduction),"")</f>
        <v>0.16207229149121102</v>
      </c>
      <c r="E58" s="165">
        <f ca="1">IFERROR(IF($D$9="","Enter time interval",IF($D$9="Annual",1,IF($D$9="Monthly",1/12,IF($D$9="Weekly",1/52,IF($D$9="Daily",1/365,0))))*LSM),"")</f>
        <v>16207229.149121102</v>
      </c>
      <c r="F58" s="34"/>
    </row>
    <row r="59" spans="2:6">
      <c r="B59" s="32"/>
      <c r="C59" s="18" t="s">
        <v>401</v>
      </c>
      <c r="D59" s="164"/>
      <c r="E59" s="165"/>
      <c r="F59" s="34"/>
    </row>
    <row r="60" spans="2:6">
      <c r="B60" s="32"/>
      <c r="C60" s="124" t="s">
        <v>402</v>
      </c>
      <c r="D60" s="164">
        <f ca="1">IFERROR(IF($D$6="","Choose $ or ¢",IF($D$6="Cents",100,1)*TIRO/ActualProduction),"")</f>
        <v>0.14012811956600216</v>
      </c>
      <c r="E60" s="165">
        <f ca="1">IFERROR(IF($D$9="","Enter time interval",IF($D$9="Annual",1,IF($D$9="Monthly",1/12,IF($D$9="Weekly",1/52,IF($D$9="Daily",1/365,0))))*TIRO),"")</f>
        <v>14012811.956600215</v>
      </c>
      <c r="F60" s="34"/>
    </row>
    <row r="61" spans="2:6">
      <c r="B61" s="32"/>
      <c r="C61" s="18" t="s">
        <v>403</v>
      </c>
      <c r="D61" s="164"/>
      <c r="E61" s="165"/>
      <c r="F61" s="34"/>
    </row>
    <row r="62" spans="2:6">
      <c r="B62" s="32"/>
      <c r="C62" s="149" t="s">
        <v>404</v>
      </c>
      <c r="D62" s="166">
        <f ca="1">IFERROR(IF($D$6="","Choose $ or ¢",IF($D$6="Cents",100,1)*GeneralExp/ActualProduction),"")</f>
        <v>0.13986739755524938</v>
      </c>
      <c r="E62" s="167">
        <f ca="1">IFERROR(IF($D$9="","Enter time interval",IF($D$9="Annual",1,IF($D$9="Monthly",1/12,IF($D$9="Weekly",1/52,IF($D$9="Daily",1/365,0))))*GeneralExp),"")</f>
        <v>13986739.755524939</v>
      </c>
      <c r="F62" s="34"/>
    </row>
    <row r="63" spans="2:6">
      <c r="B63" s="32"/>
      <c r="C63" s="159" t="s">
        <v>413</v>
      </c>
      <c r="D63" s="172">
        <f ca="1">SUM(D56:D62)</f>
        <v>0.85622032593529707</v>
      </c>
      <c r="E63" s="173">
        <f ca="1">SUM(E56:E62)</f>
        <v>85622032.593529716</v>
      </c>
      <c r="F63" s="34"/>
    </row>
    <row r="64" spans="2:6">
      <c r="B64" s="32"/>
      <c r="C64" s="20"/>
      <c r="D64" s="400"/>
      <c r="E64" s="169"/>
      <c r="F64" s="34"/>
    </row>
    <row r="65" spans="2:6">
      <c r="B65" s="32"/>
      <c r="C65" s="17" t="s">
        <v>915</v>
      </c>
      <c r="D65" s="400"/>
      <c r="E65" s="169"/>
      <c r="F65" s="34"/>
    </row>
    <row r="66" spans="2:6">
      <c r="B66" s="32"/>
      <c r="C66" s="33" t="s">
        <v>410</v>
      </c>
      <c r="D66" s="35"/>
      <c r="E66" s="35"/>
      <c r="F66" s="34"/>
    </row>
    <row r="67" spans="2:6">
      <c r="B67" s="32"/>
      <c r="C67" s="33" t="str">
        <f>"     ("&amp;IFERROR(IF('1 Inputs'!$K$51&lt;&gt;"% of costs",ROI,0),"")&amp;"%/yr of total capital invested)"</f>
        <v xml:space="preserve">     (25%/yr of total capital invested)</v>
      </c>
      <c r="D67" s="170">
        <f ca="1">IFERROR(TCI*IF('1 Inputs'!$K$51&lt;&gt;"% of costs",ROI,0)/100/ActualProduction,0)</f>
        <v>0.36331268006416717</v>
      </c>
      <c r="E67" s="171">
        <f ca="1">IFERROR(TCI*IF('1 Inputs'!$K$51&lt;&gt;"% of costs",ROI,0)/100,0)</f>
        <v>36331268.006416716</v>
      </c>
      <c r="F67" s="34"/>
    </row>
    <row r="68" spans="2:6">
      <c r="B68" s="32"/>
      <c r="C68" s="399" t="str">
        <f>"Flat Margin ("&amp;IFERROR(IF('1 Inputs'!$K$51&lt;&gt;"ROI",FlatMargin,0),"")&amp;"% of costs excl. PGM)"</f>
        <v>Flat Margin (0% of costs excl. PGM)</v>
      </c>
      <c r="D68" s="402">
        <f ca="1">IFERROR((D52+SUM(D57:D62)+D56-IFERROR(IF(VLOOKUP('4 Spent Catalyst'!$D$6,Spent2[],6,FALSE)="Yes",'4 Spent Catalyst'!$D$16*'4 Spent Catalyst'!$D$32,0),0)*IF($D$6="Cents",100,1))*IF('1 Inputs'!$K$51&lt;&gt;"ROI",FlatMargin,0)/100,0)</f>
        <v>0</v>
      </c>
      <c r="E68" s="403">
        <f ca="1">IFERROR((E52+SUM(E57:E62)+E56-IFERROR(IF(VLOOKUP('4 Spent Catalyst'!$D$6,Spent2[],6,FALSE)="Yes",'4 Spent Catalyst'!$D$16*'4 Spent Catalyst'!$D$32,0),0)*ActualProduction)*IF('1 Inputs'!$K$51&lt;&gt;"ROI",FlatMargin,0)/100,0)</f>
        <v>0</v>
      </c>
      <c r="F68" s="34"/>
    </row>
    <row r="69" spans="2:6">
      <c r="B69" s="32"/>
      <c r="C69" s="20" t="s">
        <v>1814</v>
      </c>
      <c r="D69" s="172">
        <f ca="1">SUM(D67:D68)</f>
        <v>0.36331268006416717</v>
      </c>
      <c r="E69" s="173">
        <f ca="1">SUM(E67:E68)</f>
        <v>36331268.006416716</v>
      </c>
      <c r="F69" s="34"/>
    </row>
    <row r="70" spans="2:6">
      <c r="B70" s="32"/>
      <c r="C70" s="33"/>
      <c r="D70" s="35"/>
      <c r="E70" s="35"/>
      <c r="F70" s="34"/>
    </row>
    <row r="71" spans="2:6" ht="17" thickBot="1">
      <c r="B71" s="156"/>
      <c r="C71" s="158" t="s">
        <v>414</v>
      </c>
      <c r="D71" s="160">
        <f ca="1">D52+D63+D67</f>
        <v>1.3648580780251311</v>
      </c>
      <c r="E71" s="161">
        <f ca="1">E52+E63+E67</f>
        <v>136485807.80251312</v>
      </c>
      <c r="F71" s="34"/>
    </row>
    <row r="72" spans="2:6" ht="17" thickTop="1">
      <c r="B72" s="156"/>
      <c r="C72" s="20"/>
      <c r="D72" s="157"/>
      <c r="E72" s="140"/>
      <c r="F72" s="34"/>
    </row>
    <row r="73" spans="2:6">
      <c r="B73" s="156"/>
      <c r="C73" s="20" t="s">
        <v>979</v>
      </c>
      <c r="D73" s="219">
        <f>IFERROR(IF($D$6="","Choose $ or ¢",IFERROR(IF($D$6="Cents",100,1)*SpentValue,0)),"")</f>
        <v>0</v>
      </c>
      <c r="E73" s="220" t="str">
        <f>IFERROR(IF($D$9="","Enter time interval",IF($D$9="Annual",1,IF($D$9="Monthly",1/12,IF($D$9="Weekly",1/52,IF($D$9="Daily",1/365,0))))*SpentValue*ActualProduction),"")</f>
        <v/>
      </c>
      <c r="F73" s="34"/>
    </row>
    <row r="74" spans="2:6" ht="17" thickBot="1">
      <c r="B74" s="156"/>
      <c r="C74" s="158" t="s">
        <v>980</v>
      </c>
      <c r="D74" s="160">
        <f ca="1">IFERROR(D71-D73,"")</f>
        <v>1.3648580780251311</v>
      </c>
      <c r="E74" s="161" t="str">
        <f ca="1">IFERROR(E71-E73,"")</f>
        <v/>
      </c>
      <c r="F74" s="34"/>
    </row>
    <row r="75" spans="2:6" ht="18" thickTop="1" thickBot="1">
      <c r="B75" s="39"/>
      <c r="C75" s="40"/>
      <c r="D75" s="40"/>
      <c r="E75" s="40"/>
      <c r="F75" s="41"/>
    </row>
    <row r="76" spans="2:6" hidden="1">
      <c r="B76" s="153"/>
      <c r="C76" s="154"/>
      <c r="D76" s="154"/>
      <c r="E76" s="154"/>
      <c r="F76" s="155"/>
    </row>
    <row r="77" spans="2:6" hidden="1">
      <c r="B77" s="32"/>
      <c r="C77" s="436" t="s">
        <v>1825</v>
      </c>
      <c r="D77" s="436"/>
      <c r="E77" s="436"/>
      <c r="F77" s="34"/>
    </row>
    <row r="78" spans="2:6" hidden="1">
      <c r="B78" s="32"/>
      <c r="C78" s="436"/>
      <c r="D78" s="436"/>
      <c r="E78" s="436"/>
      <c r="F78" s="34"/>
    </row>
    <row r="79" spans="2:6" hidden="1">
      <c r="B79" s="32"/>
      <c r="C79" s="436"/>
      <c r="D79" s="436"/>
      <c r="E79" s="436"/>
      <c r="F79" s="34"/>
    </row>
    <row r="80" spans="2:6" ht="17" hidden="1" thickBot="1">
      <c r="B80" s="39"/>
      <c r="C80" s="40"/>
      <c r="D80" s="40"/>
      <c r="E80" s="40"/>
      <c r="F80" s="41"/>
    </row>
    <row r="81" spans="2:6" hidden="1">
      <c r="B81" s="32"/>
      <c r="C81" s="33"/>
      <c r="D81" s="33"/>
      <c r="E81" s="33"/>
      <c r="F81" s="34"/>
    </row>
    <row r="82" spans="2:6" ht="20" hidden="1">
      <c r="B82" s="32"/>
      <c r="C82" s="435" t="s">
        <v>1828</v>
      </c>
      <c r="D82" s="435"/>
      <c r="E82" s="435"/>
      <c r="F82" s="34"/>
    </row>
    <row r="83" spans="2:6" ht="21" hidden="1" thickBot="1">
      <c r="B83" s="32"/>
      <c r="C83" s="434" t="str">
        <f>IF(EstimateName="","",EstimateName)</f>
        <v>FCC RE USY</v>
      </c>
      <c r="D83" s="434"/>
      <c r="E83" s="434"/>
      <c r="F83" s="34"/>
    </row>
    <row r="84" spans="2:6" hidden="1">
      <c r="B84" s="32"/>
      <c r="C84" s="20"/>
      <c r="D84" s="20"/>
      <c r="E84" s="20"/>
      <c r="F84" s="34"/>
    </row>
    <row r="85" spans="2:6" hidden="1">
      <c r="B85" s="32"/>
      <c r="C85" s="159" t="s">
        <v>975</v>
      </c>
      <c r="D85" s="159">
        <f>IF(BasisYear="","-----",BasisYear)</f>
        <v>2016</v>
      </c>
      <c r="E85" s="159"/>
      <c r="F85" s="34"/>
    </row>
    <row r="86" spans="2:6" hidden="1">
      <c r="B86" s="32"/>
      <c r="C86" s="20" t="s">
        <v>1815</v>
      </c>
      <c r="D86" s="20"/>
      <c r="E86" s="20"/>
      <c r="F86" s="34"/>
    </row>
    <row r="87" spans="2:6" hidden="1">
      <c r="B87" s="32"/>
      <c r="C87" s="139" t="s">
        <v>1812</v>
      </c>
      <c r="D87" s="20" t="str">
        <f>IF(StepOrderSize="","-----",StepOrderSize)</f>
        <v>-----</v>
      </c>
      <c r="E87" s="20" t="s">
        <v>1813</v>
      </c>
      <c r="F87" s="34"/>
    </row>
    <row r="88" spans="2:6" hidden="1">
      <c r="B88" s="32"/>
      <c r="C88" s="121" t="s">
        <v>1816</v>
      </c>
      <c r="D88" s="20"/>
      <c r="E88" s="20"/>
      <c r="F88" s="34"/>
    </row>
    <row r="89" spans="2:6" hidden="1">
      <c r="B89" s="32"/>
      <c r="C89" s="139" t="s">
        <v>12</v>
      </c>
      <c r="D89" s="174">
        <f>IF('1 Inputs'!$K$37=0,"-----",'1 Inputs'!$K$37)</f>
        <v>100000000</v>
      </c>
      <c r="E89" s="20" t="str">
        <f>IF(OutMassUnit="","",OutMassUnit)</f>
        <v>lb</v>
      </c>
      <c r="F89" s="34"/>
    </row>
    <row r="90" spans="2:6" hidden="1">
      <c r="B90" s="32"/>
      <c r="C90" s="404" t="s">
        <v>14</v>
      </c>
      <c r="D90" s="401">
        <f>IF(ActualProduction=0,"-----",ActualProduction)</f>
        <v>100000000</v>
      </c>
      <c r="E90" s="360" t="str">
        <f>IF(OutMassUnit="","",OutMassUnit)</f>
        <v>lb</v>
      </c>
      <c r="F90" s="34"/>
    </row>
    <row r="91" spans="2:6" hidden="1">
      <c r="B91" s="32"/>
      <c r="C91" s="33"/>
      <c r="D91" s="33"/>
      <c r="E91" s="33"/>
      <c r="F91" s="34"/>
    </row>
    <row r="92" spans="2:6" hidden="1">
      <c r="B92" s="32"/>
      <c r="C92" s="17" t="s">
        <v>390</v>
      </c>
      <c r="D92" s="162" t="s">
        <v>422</v>
      </c>
      <c r="E92" s="162" t="str">
        <f>IF($D$9="","Enter time interval",$D$9&amp;" Cost")</f>
        <v>Annual Cost</v>
      </c>
      <c r="F92" s="34"/>
    </row>
    <row r="93" spans="2:6" hidden="1">
      <c r="B93" s="32"/>
      <c r="C93" s="33"/>
      <c r="D93" s="163" t="str">
        <f>IF($D$6="","Choose $ or ¢",IF($D$6="Cents","¢/"&amp;OutMassUnit&amp;" catalyst",CurrencySymbol&amp;"/"&amp;OutMassUnit&amp;" catalyst"))</f>
        <v>$/lb catalyst</v>
      </c>
      <c r="E93" s="163" t="str">
        <f>IF($D$9="","Enter time interval",IF($D$9="Annual",CurrencySymbol&amp;"/year",IF($D$9="Monthly",CurrencySymbol&amp;"/month",IF($D$9="Weekly",CurrencySymbol&amp;"/week",IF($D$9="Daily",CurrencySymbol&amp;"/day","")))))</f>
        <v>$/year</v>
      </c>
      <c r="F93" s="34"/>
    </row>
    <row r="94" spans="2:6" hidden="1">
      <c r="B94" s="32"/>
      <c r="C94" s="17" t="s">
        <v>1817</v>
      </c>
      <c r="D94" s="163"/>
      <c r="E94" s="163"/>
      <c r="F94" s="34"/>
    </row>
    <row r="95" spans="2:6" hidden="1">
      <c r="B95" s="32"/>
      <c r="C95" s="33" t="s">
        <v>974</v>
      </c>
      <c r="D95" s="286" t="str">
        <f ca="1">IF($D$6="","Choose $ or ¢",IFERROR(IF($D$6="Cents",100,1)*StepUnitTotal,""))</f>
        <v/>
      </c>
      <c r="E95" s="283" t="str">
        <f ca="1">IFERROR(D95*StepOrderSizeOut,"")</f>
        <v/>
      </c>
      <c r="F95" s="34"/>
    </row>
    <row r="96" spans="2:6" hidden="1">
      <c r="B96" s="32"/>
      <c r="C96" s="33" t="s">
        <v>1806</v>
      </c>
      <c r="D96" s="286"/>
      <c r="E96" s="283"/>
      <c r="F96" s="34"/>
    </row>
    <row r="97" spans="2:6" hidden="1">
      <c r="B97" s="32"/>
      <c r="C97" s="237" t="s">
        <v>1751</v>
      </c>
      <c r="D97" s="286" t="str">
        <f ca="1">IFERROR(StepGnA/100*D95,"")</f>
        <v/>
      </c>
      <c r="E97" s="283" t="str">
        <f ca="1">IFERROR(D97*ActualProduction,"")</f>
        <v/>
      </c>
      <c r="F97" s="34"/>
    </row>
    <row r="98" spans="2:6" hidden="1">
      <c r="B98" s="32"/>
      <c r="C98" s="237" t="s">
        <v>1804</v>
      </c>
      <c r="D98" s="286" t="str">
        <f ca="1">IFERROR(StepSARD/100*(D95+D97),"")</f>
        <v/>
      </c>
      <c r="E98" s="283" t="str">
        <f ca="1">IFERROR(D98*ActualProduction,"")</f>
        <v/>
      </c>
      <c r="F98" s="34"/>
    </row>
    <row r="99" spans="2:6" hidden="1">
      <c r="B99" s="32"/>
      <c r="C99" s="285" t="s">
        <v>973</v>
      </c>
      <c r="D99" s="287" t="str">
        <f ca="1">IFERROR(StepMargin/100*(D95+D97+D98),"")</f>
        <v/>
      </c>
      <c r="E99" s="284" t="str">
        <f ca="1">IFERROR(D99*ActualProduction,"")</f>
        <v/>
      </c>
      <c r="F99" s="34"/>
    </row>
    <row r="100" spans="2:6" hidden="1">
      <c r="B100" s="32"/>
      <c r="C100" s="20" t="s">
        <v>1818</v>
      </c>
      <c r="D100" s="288">
        <f ca="1">SUM(D95:D99)</f>
        <v>0</v>
      </c>
      <c r="E100" s="169">
        <f ca="1">IFERROR(D100*ActualProduction,"")</f>
        <v>0</v>
      </c>
      <c r="F100" s="34"/>
    </row>
    <row r="101" spans="2:6" hidden="1">
      <c r="B101" s="32"/>
      <c r="C101" s="20"/>
      <c r="D101" s="400"/>
      <c r="E101" s="169"/>
      <c r="F101" s="34"/>
    </row>
    <row r="102" spans="2:6" hidden="1">
      <c r="B102" s="32"/>
      <c r="C102" s="17" t="s">
        <v>1819</v>
      </c>
      <c r="D102" s="35"/>
      <c r="E102" s="35"/>
      <c r="F102" s="34"/>
    </row>
    <row r="103" spans="2:6" hidden="1">
      <c r="B103" s="32"/>
      <c r="C103" s="138" t="s">
        <v>391</v>
      </c>
      <c r="D103" s="164">
        <f ca="1">IF($D$6="","Choose $ or ¢",IFERROR(IF($D$6="Cents",100,1)*FCI/PlantLife/ActualProduction,""))</f>
        <v>0.12503495563688871</v>
      </c>
      <c r="E103" s="165">
        <f ca="1">IF($D$9="","Enter time interval",IFERROR(IF($D$9="Annual",1,IF($D$9="Monthly",1/12,IF($D$9="Weekly",1/52,IF($D$9="Daily",1/365,0))))*FCI/PlantLife,""))</f>
        <v>12503495.563688871</v>
      </c>
      <c r="F103" s="34"/>
    </row>
    <row r="104" spans="2:6" hidden="1">
      <c r="B104" s="32"/>
      <c r="C104" s="149" t="s">
        <v>206</v>
      </c>
      <c r="D104" s="166">
        <f ca="1">IF($D$6="","Choose $ or ¢",IFERROR(IF($D$6="Cents",100,1)*WorkingCapital/PlantLife/ActualProduction,""))</f>
        <v>2.0290116388778159E-2</v>
      </c>
      <c r="E104" s="167">
        <f ca="1">IF($D$9="","Enter time interval",IFERROR(IF($D$9="Annual",1,IF($D$9="Monthly",1/12,IF($D$9="Weekly",1/52,IF($D$9="Daily",1/365,0))))*WorkingCapital/PlantLife,""))</f>
        <v>2029011.6388778158</v>
      </c>
      <c r="F104" s="34"/>
    </row>
    <row r="105" spans="2:6" hidden="1">
      <c r="B105" s="32"/>
      <c r="C105" s="20" t="s">
        <v>1822</v>
      </c>
      <c r="D105" s="168">
        <f ca="1">SUM(D103:D104)</f>
        <v>0.14532507202566686</v>
      </c>
      <c r="E105" s="169">
        <f ca="1">SUM(E103:E104)</f>
        <v>14532507.202566687</v>
      </c>
      <c r="F105" s="34"/>
    </row>
    <row r="106" spans="2:6" hidden="1">
      <c r="B106" s="32"/>
      <c r="C106" s="33"/>
      <c r="D106" s="35"/>
      <c r="E106" s="35"/>
      <c r="F106" s="34"/>
    </row>
    <row r="107" spans="2:6" hidden="1">
      <c r="B107" s="32"/>
      <c r="C107" s="17" t="s">
        <v>1820</v>
      </c>
      <c r="D107" s="35"/>
      <c r="E107" s="35"/>
      <c r="F107" s="34"/>
    </row>
    <row r="108" spans="2:6" hidden="1">
      <c r="B108" s="32"/>
      <c r="C108" s="18" t="s">
        <v>397</v>
      </c>
      <c r="D108" s="164"/>
      <c r="E108" s="165"/>
      <c r="F108" s="34"/>
    </row>
    <row r="109" spans="2:6" hidden="1">
      <c r="B109" s="32"/>
      <c r="C109" s="124" t="s">
        <v>398</v>
      </c>
      <c r="D109" s="164">
        <f>IFERROR(IF($D$6="","Choose $ or ¢",IF($D$6="Cents",100,1)*MaterialsUnitCost),"")</f>
        <v>0.36294109999999996</v>
      </c>
      <c r="E109" s="165">
        <f>IFERROR(IF($D$9="","Enter time interval",IF($D$9="Annual",1,IF($D$9="Monthly",1/12,IF($D$9="Weekly",1/52,IF($D$9="Daily",1/365,0))))*MaterialsAnnualCost),"")</f>
        <v>36294110</v>
      </c>
      <c r="F109" s="34"/>
    </row>
    <row r="110" spans="2:6" hidden="1">
      <c r="B110" s="32"/>
      <c r="C110" s="124" t="s">
        <v>399</v>
      </c>
      <c r="D110" s="164">
        <f ca="1">IFERROR(IF($D$6="","Choose $ or ¢",IF($D$6="Cents",100,1)*UtilitiesUnitCost),"")</f>
        <v>5.1211417322834643E-2</v>
      </c>
      <c r="E110" s="165">
        <f ca="1">IFERROR(IF($D$9="","Enter time interval",IF($D$9="Annual",1,IF($D$9="Monthly",1/12,IF($D$9="Weekly",1/52,IF($D$9="Daily",1/365,0))))*UtilitiesAnnualCost),"")</f>
        <v>5121141.7322834646</v>
      </c>
      <c r="F110" s="34"/>
    </row>
    <row r="111" spans="2:6" hidden="1">
      <c r="B111" s="32"/>
      <c r="C111" s="124" t="s">
        <v>400</v>
      </c>
      <c r="D111" s="164">
        <f ca="1">IFERROR(IF($D$6="","Choose $ or ¢",IF($D$6="Cents",100,1)*LSM/ActualProduction),"")</f>
        <v>0.16207229149121102</v>
      </c>
      <c r="E111" s="165">
        <f ca="1">IFERROR(IF($D$9="","Enter time interval",IF($D$9="Annual",1,IF($D$9="Monthly",1/12,IF($D$9="Weekly",1/52,IF($D$9="Daily",1/365,0))))*LSM),"")</f>
        <v>16207229.149121102</v>
      </c>
      <c r="F111" s="34"/>
    </row>
    <row r="112" spans="2:6" hidden="1">
      <c r="B112" s="32"/>
      <c r="C112" s="18" t="s">
        <v>401</v>
      </c>
      <c r="D112" s="164"/>
      <c r="E112" s="165"/>
      <c r="F112" s="34"/>
    </row>
    <row r="113" spans="2:6" hidden="1">
      <c r="B113" s="32"/>
      <c r="C113" s="124" t="s">
        <v>402</v>
      </c>
      <c r="D113" s="164">
        <f ca="1">IFERROR(IF($D$6="","Choose $ or ¢",IF($D$6="Cents",100,1)*TIRO/ActualProduction),"")</f>
        <v>0.14012811956600216</v>
      </c>
      <c r="E113" s="165">
        <f ca="1">IFERROR(IF($D$9="","Enter time interval",IF($D$9="Annual",1,IF($D$9="Monthly",1/12,IF($D$9="Weekly",1/52,IF($D$9="Daily",1/365,0))))*TIRO),"")</f>
        <v>14012811.956600215</v>
      </c>
      <c r="F113" s="34"/>
    </row>
    <row r="114" spans="2:6" hidden="1">
      <c r="B114" s="32"/>
      <c r="C114" s="18" t="s">
        <v>403</v>
      </c>
      <c r="D114" s="164"/>
      <c r="E114" s="165"/>
      <c r="F114" s="34"/>
    </row>
    <row r="115" spans="2:6" hidden="1">
      <c r="B115" s="32"/>
      <c r="C115" s="149" t="s">
        <v>404</v>
      </c>
      <c r="D115" s="166">
        <f ca="1">IFERROR(IF($D$6="","Choose $ or ¢",IF($D$6="Cents",100,1)*GeneralExp/ActualProduction),"")</f>
        <v>0.13986739755524938</v>
      </c>
      <c r="E115" s="167">
        <f ca="1">IFERROR(IF($D$9="","Enter time interval",IF($D$9="Annual",1,IF($D$9="Monthly",1/12,IF($D$9="Weekly",1/52,IF($D$9="Daily",1/365,0))))*GeneralExp),"")</f>
        <v>13986739.755524939</v>
      </c>
      <c r="F115" s="34"/>
    </row>
    <row r="116" spans="2:6" hidden="1">
      <c r="B116" s="32"/>
      <c r="C116" s="159" t="s">
        <v>1823</v>
      </c>
      <c r="D116" s="172">
        <f ca="1">SUM(D109:D115)</f>
        <v>0.85622032593529707</v>
      </c>
      <c r="E116" s="173">
        <f ca="1">SUM(E109:E115)</f>
        <v>85622032.593529716</v>
      </c>
      <c r="F116" s="34"/>
    </row>
    <row r="117" spans="2:6" hidden="1">
      <c r="B117" s="32"/>
      <c r="C117" s="20"/>
      <c r="D117" s="400"/>
      <c r="E117" s="169"/>
      <c r="F117" s="34"/>
    </row>
    <row r="118" spans="2:6" hidden="1">
      <c r="B118" s="32"/>
      <c r="C118" s="17" t="s">
        <v>1821</v>
      </c>
      <c r="D118" s="400"/>
      <c r="E118" s="169"/>
      <c r="F118" s="34"/>
    </row>
    <row r="119" spans="2:6" hidden="1">
      <c r="B119" s="32"/>
      <c r="C119" s="33" t="s">
        <v>410</v>
      </c>
      <c r="D119" s="35"/>
      <c r="E119" s="35"/>
      <c r="F119" s="34"/>
    </row>
    <row r="120" spans="2:6" hidden="1">
      <c r="B120" s="32"/>
      <c r="C120" s="33" t="str">
        <f>"     ("&amp;IFERROR(IF('1 Inputs'!$K$51&lt;&gt;"% of costs",ROI,0),"")&amp;"%/yr of total capital invested)"</f>
        <v xml:space="preserve">     (25%/yr of total capital invested)</v>
      </c>
      <c r="D120" s="170">
        <f ca="1">IFERROR(TCI*IF('1 Inputs'!$K$51&lt;&gt;"% of costs",ROI,0)/100/ActualProduction,0)</f>
        <v>0.36331268006416717</v>
      </c>
      <c r="E120" s="171">
        <f ca="1">IFERROR(TCI*IF('1 Inputs'!$K$51&lt;&gt;"% of costs",ROI,0)/100,0)</f>
        <v>36331268.006416716</v>
      </c>
      <c r="F120" s="34"/>
    </row>
    <row r="121" spans="2:6" hidden="1">
      <c r="B121" s="32"/>
      <c r="C121" s="399" t="str">
        <f>"Flat Margin ("&amp;IFERROR(IF('1 Inputs'!$K$51&lt;&gt;"ROI",FlatMargin,0),"")&amp;"% of costs excl. PGM)"</f>
        <v>Flat Margin (0% of costs excl. PGM)</v>
      </c>
      <c r="D121" s="402">
        <f ca="1">IFERROR((D105+SUM(D110:D115)+D109-IFERROR(IF(VLOOKUP('4 Spent Catalyst'!$D$6,Spent2[],6,FALSE)="Yes",'4 Spent Catalyst'!$D$16*'4 Spent Catalyst'!$D$32,0),0)*IF($D$6="Cents",100,1))*IF('1 Inputs'!$K$51&lt;&gt;"ROI",FlatMargin,0)/100,0)</f>
        <v>0</v>
      </c>
      <c r="E121" s="403">
        <f ca="1">IFERROR((E105+SUM(E110:E115)+E109-IFERROR(IF(VLOOKUP('4 Spent Catalyst'!$D$6,Spent2[],6,FALSE)="Yes",'4 Spent Catalyst'!$D$16*'4 Spent Catalyst'!$D$32,0),0)*ActualProduction)*IF('1 Inputs'!$K$51&lt;&gt;"ROI",FlatMargin,0)/100,0)</f>
        <v>0</v>
      </c>
      <c r="F121" s="34"/>
    </row>
    <row r="122" spans="2:6" hidden="1">
      <c r="B122" s="32"/>
      <c r="C122" s="20" t="s">
        <v>1824</v>
      </c>
      <c r="D122" s="172">
        <f ca="1">SUM(D120:D121)</f>
        <v>0.36331268006416717</v>
      </c>
      <c r="E122" s="173">
        <f ca="1">SUM(E120:E121)</f>
        <v>36331268.006416716</v>
      </c>
      <c r="F122" s="34"/>
    </row>
    <row r="123" spans="2:6" hidden="1">
      <c r="B123" s="32"/>
      <c r="C123" s="33"/>
      <c r="D123" s="35"/>
      <c r="E123" s="35"/>
      <c r="F123" s="34"/>
    </row>
    <row r="124" spans="2:6" ht="17" hidden="1" thickBot="1">
      <c r="B124" s="156"/>
      <c r="C124" s="158" t="s">
        <v>414</v>
      </c>
      <c r="D124" s="160">
        <f ca="1">IFERROR(D100+D105+D116+D120,"")</f>
        <v>1.3648580780251311</v>
      </c>
      <c r="E124" s="161">
        <f ca="1">IFERROR(E100+E105+E116+E120,"")</f>
        <v>136485807.80251312</v>
      </c>
      <c r="F124" s="34"/>
    </row>
    <row r="125" spans="2:6" ht="17" hidden="1" thickTop="1">
      <c r="B125" s="156"/>
      <c r="C125" s="20"/>
      <c r="D125" s="157"/>
      <c r="E125" s="140"/>
      <c r="F125" s="34"/>
    </row>
    <row r="126" spans="2:6" hidden="1">
      <c r="B126" s="156"/>
      <c r="C126" s="20" t="s">
        <v>979</v>
      </c>
      <c r="D126" s="219">
        <f>IFERROR(IF($D$6="","Choose $ or ¢",IFERROR(IF($D$6="Cents",100,1)*SpentValue,0)),"")</f>
        <v>0</v>
      </c>
      <c r="E126" s="220" t="str">
        <f>IFERROR(IF($D$9="","Enter time interval",IF($D$9="Annual",1,IF($D$9="Monthly",1/12,IF($D$9="Weekly",1/52,IF($D$9="Daily",1/365,0))))*SpentValue*ActualProduction),"")</f>
        <v/>
      </c>
      <c r="F126" s="34"/>
    </row>
    <row r="127" spans="2:6" ht="17" hidden="1" thickBot="1">
      <c r="B127" s="156"/>
      <c r="C127" s="158" t="s">
        <v>980</v>
      </c>
      <c r="D127" s="160">
        <f ca="1">IFERROR(D124-D126,"")</f>
        <v>1.3648580780251311</v>
      </c>
      <c r="E127" s="161" t="str">
        <f ca="1">IFERROR(E124-E126,"")</f>
        <v/>
      </c>
      <c r="F127" s="34"/>
    </row>
    <row r="128" spans="2:6" ht="18" hidden="1" thickTop="1" thickBot="1">
      <c r="B128" s="39"/>
      <c r="C128" s="40"/>
      <c r="D128" s="40"/>
      <c r="E128" s="40"/>
      <c r="F128" s="41"/>
    </row>
  </sheetData>
  <mergeCells count="8">
    <mergeCell ref="C83:E83"/>
    <mergeCell ref="B3:D3"/>
    <mergeCell ref="C40:E40"/>
    <mergeCell ref="C12:E12"/>
    <mergeCell ref="C82:E82"/>
    <mergeCell ref="C77:E79"/>
    <mergeCell ref="C41:E41"/>
    <mergeCell ref="C13:E13"/>
  </mergeCells>
  <conditionalFormatting sqref="D6 D9">
    <cfRule type="containsBlanks" dxfId="113" priority="3">
      <formula>LEN(TRIM(D6))=0</formula>
    </cfRule>
  </conditionalFormatting>
  <dataValidations count="2">
    <dataValidation type="list" allowBlank="1" showInputMessage="1" showErrorMessage="1" sqref="D6" xr:uid="{00000000-0002-0000-0B00-000000000000}">
      <formula1>"Cents,Dollars"</formula1>
    </dataValidation>
    <dataValidation type="list" allowBlank="1" showInputMessage="1" showErrorMessage="1" sqref="D9" xr:uid="{00000000-0002-0000-0B00-000001000000}">
      <formula1>"Annual,Monthly,Weekly,Daily"</formula1>
    </dataValidation>
  </dataValidations>
  <pageMargins left="0.75" right="0.75" top="1" bottom="1" header="0.5" footer="0.5"/>
  <pageSetup orientation="portrait" horizontalDpi="4294967292" verticalDpi="4294967292"/>
  <ignoredErrors>
    <ignoredError sqref="A1:XFD4 A18:XFD20 A38:XFD39 D44:E45 A7:XFD8 A6:C6 E6:XFD6 A33:XFD33 A29:C29 A23:B23 A30:B30 A21:D22 F21:XFD23 A27:B28 A31:B31 A32:B32 F29:XFD32 D27:XFD27 A35:XFD35 A34:C34 F34:XFD34 A46:G47 A37:C37 A36:D36 F36:XFD37 A50:C51 F51:G51 A72:G72 A52:G55 C13 A49:B49 D49:G49 F28:G28 I28:XFD28 A10:XFD11 D16 A40:B40 F40:XFD40 A59:G59 A56:C58 F56:G58 A61:G61 A60:C60 F60:G60 A63:G63 A62:C62 F62:G62 A75:G75 A73:C74 F73:G74 A129:XFD1048576 A89:A91 G89:G91 G81:G82 A81:A82 D87:E90 D100 D93 A48:D48 F48:G48 D116:E116 A5:G5 I5:XFD5 A12:B12 D12:XFD12 F50:G50 I50:XFD50 I51:XFD51 A70:G71 I70:XFD71 I52:XFD55 I59:XFD59 I56:XFD58 I61:XFD61 I60:XFD60 I63:XFD63 I62:XFD62 I46:XFD47 I72:XFD72 I49:XFD49 I75:XFD75 I73:XFD74 I89:XFD91 I81:XFD82 I48:XFD48" emptyCellReferenc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EX629"/>
  <sheetViews>
    <sheetView topLeftCell="A597" zoomScaleNormal="100" workbookViewId="0">
      <pane xSplit="1" topLeftCell="B1" activePane="topRight" state="frozenSplit"/>
      <selection pane="topRight" activeCell="A622" sqref="A622"/>
    </sheetView>
  </sheetViews>
  <sheetFormatPr baseColWidth="10" defaultColWidth="11" defaultRowHeight="16" outlineLevelCol="1"/>
  <cols>
    <col min="1" max="1" width="72.6640625" customWidth="1"/>
    <col min="2" max="2" width="15.5" bestFit="1" customWidth="1"/>
    <col min="3" max="3" width="14.83203125" bestFit="1" customWidth="1"/>
    <col min="4" max="4" width="16" customWidth="1"/>
    <col min="5" max="5" width="18.83203125" customWidth="1"/>
    <col min="6" max="6" width="18.33203125" customWidth="1"/>
    <col min="7" max="10" width="15.83203125" hidden="1" customWidth="1" outlineLevel="1"/>
    <col min="11" max="11" width="11.5" hidden="1" customWidth="1" outlineLevel="1"/>
    <col min="12" max="15" width="12.6640625" hidden="1" customWidth="1" outlineLevel="1"/>
    <col min="16" max="16" width="20.33203125" customWidth="1" collapsed="1"/>
    <col min="17" max="17" width="20.83203125" customWidth="1"/>
    <col min="18" max="18" width="17.83203125" customWidth="1"/>
    <col min="19" max="19" width="13.1640625" customWidth="1"/>
    <col min="20" max="20" width="15" customWidth="1"/>
    <col min="21" max="21" width="19.33203125" customWidth="1"/>
    <col min="22" max="22" width="43.1640625" customWidth="1"/>
    <col min="23" max="23" width="17.6640625" hidden="1" customWidth="1" outlineLevel="1"/>
    <col min="24" max="27" width="20.6640625" hidden="1" customWidth="1" outlineLevel="1"/>
    <col min="28" max="31" width="13.6640625" hidden="1" customWidth="1" outlineLevel="1"/>
    <col min="32" max="32" width="18.5" hidden="1" customWidth="1" outlineLevel="1"/>
    <col min="33" max="33" width="21.5" hidden="1" customWidth="1" outlineLevel="1"/>
    <col min="34" max="34" width="11.5" hidden="1" customWidth="1" outlineLevel="1"/>
    <col min="35" max="35" width="40.1640625" hidden="1" customWidth="1" outlineLevel="1"/>
    <col min="36" max="36" width="34.5" hidden="1" customWidth="1" outlineLevel="1"/>
    <col min="37" max="37" width="25.1640625" hidden="1" customWidth="1" outlineLevel="1"/>
    <col min="38" max="38" width="13.6640625" bestFit="1" customWidth="1" collapsed="1"/>
    <col min="39" max="39" width="23.5" bestFit="1" customWidth="1"/>
    <col min="42" max="42" width="32.6640625" customWidth="1"/>
    <col min="43" max="43" width="23.33203125" customWidth="1"/>
    <col min="44" max="44" width="11.83203125" customWidth="1"/>
    <col min="45" max="45" width="21.83203125" customWidth="1"/>
    <col min="46" max="46" width="27.5" customWidth="1"/>
    <col min="47" max="55" width="11" customWidth="1"/>
    <col min="56" max="145" width="12" customWidth="1"/>
    <col min="146" max="1045" width="13" customWidth="1"/>
    <col min="1046" max="10045" width="14" customWidth="1"/>
    <col min="10046" max="16384" width="15" customWidth="1"/>
  </cols>
  <sheetData>
    <row r="1" spans="1:16378" s="10" customFormat="1">
      <c r="P1" s="10" t="s">
        <v>168</v>
      </c>
      <c r="AL1" s="10" t="s">
        <v>167</v>
      </c>
    </row>
    <row r="2" spans="1:16378" s="10" customFormat="1">
      <c r="A2" s="277" t="s">
        <v>28</v>
      </c>
    </row>
    <row r="3" spans="1:16378" s="10" customFormat="1">
      <c r="A3" s="278" t="s">
        <v>29</v>
      </c>
      <c r="B3" s="45">
        <v>24789.598000000002</v>
      </c>
      <c r="C3" s="47" t="s">
        <v>31</v>
      </c>
    </row>
    <row r="4" spans="1:16378" s="10" customFormat="1">
      <c r="A4" s="10" t="s">
        <v>30</v>
      </c>
    </row>
    <row r="5" spans="1:16378" s="10" customFormat="1"/>
    <row r="6" spans="1:16378" s="10" customFormat="1">
      <c r="A6" s="278" t="s">
        <v>32</v>
      </c>
      <c r="B6" s="45">
        <v>8314.4599999999991</v>
      </c>
      <c r="C6" s="47" t="s">
        <v>962</v>
      </c>
    </row>
    <row r="7" spans="1:16378" s="10" customFormat="1"/>
    <row r="8" spans="1:16378" s="10" customFormat="1">
      <c r="A8" s="278" t="s">
        <v>29</v>
      </c>
      <c r="B8" s="45">
        <f>B6*294.3/101.35</f>
        <v>24143.518283177109</v>
      </c>
      <c r="C8" s="47" t="s">
        <v>31</v>
      </c>
    </row>
    <row r="9" spans="1:16378" s="10" customFormat="1">
      <c r="A9" s="279" t="s">
        <v>170</v>
      </c>
    </row>
    <row r="10" spans="1:16378" s="10" customFormat="1"/>
    <row r="11" spans="1:16378" s="10" customFormat="1">
      <c r="A11" s="277" t="s">
        <v>1121</v>
      </c>
      <c r="D11" s="282" t="s">
        <v>19</v>
      </c>
    </row>
    <row r="12" spans="1:16378" s="10" customFormat="1">
      <c r="A12" s="278" t="s">
        <v>4</v>
      </c>
      <c r="B12" s="45">
        <v>5000</v>
      </c>
      <c r="C12" s="280" t="s">
        <v>20</v>
      </c>
      <c r="D12" s="281">
        <f>B12*VLOOKUP(C12,UnitConv[],5,FALSE)/VLOOKUP(OutMassUnit,UnitConv[],5,FALSE)</f>
        <v>5000</v>
      </c>
      <c r="E12" s="282" t="str">
        <f>OutMassUnit</f>
        <v>lb</v>
      </c>
    </row>
    <row r="13" spans="1:16378" s="10" customFormat="1">
      <c r="A13" s="278" t="s">
        <v>3</v>
      </c>
      <c r="B13" s="45">
        <v>2000</v>
      </c>
      <c r="C13" s="280" t="s">
        <v>20</v>
      </c>
      <c r="D13" s="281">
        <f>B13*VLOOKUP(C13,UnitConv[],5,FALSE)/VLOOKUP(OutMassUnit,UnitConv[],5,FALSE)</f>
        <v>2000</v>
      </c>
      <c r="E13" s="282" t="str">
        <f>OutMassUnit</f>
        <v>lb</v>
      </c>
    </row>
    <row r="14" spans="1:16378" s="10" customFormat="1">
      <c r="F14" s="10" t="s">
        <v>169</v>
      </c>
      <c r="P14" s="10" t="s">
        <v>168</v>
      </c>
    </row>
    <row r="15" spans="1:16378" s="261" customFormat="1">
      <c r="A15" s="257" t="s">
        <v>17</v>
      </c>
      <c r="B15" s="258" t="s">
        <v>124</v>
      </c>
      <c r="C15" s="258" t="s">
        <v>125</v>
      </c>
      <c r="D15" s="258" t="s">
        <v>126</v>
      </c>
      <c r="E15" s="258" t="s">
        <v>127</v>
      </c>
      <c r="F15" s="258" t="s">
        <v>128</v>
      </c>
      <c r="G15" s="258" t="s">
        <v>129</v>
      </c>
      <c r="H15" s="258" t="s">
        <v>130</v>
      </c>
      <c r="I15" s="258" t="s">
        <v>131</v>
      </c>
      <c r="J15" s="258" t="s">
        <v>132</v>
      </c>
      <c r="K15" s="258" t="s">
        <v>133</v>
      </c>
      <c r="L15" s="258" t="s">
        <v>134</v>
      </c>
      <c r="M15" s="258" t="s">
        <v>135</v>
      </c>
      <c r="N15" s="258" t="s">
        <v>136</v>
      </c>
      <c r="O15" s="258" t="s">
        <v>137</v>
      </c>
      <c r="P15" s="258" t="s">
        <v>150</v>
      </c>
      <c r="Q15" s="258" t="s">
        <v>151</v>
      </c>
      <c r="R15" s="258" t="s">
        <v>152</v>
      </c>
      <c r="S15" s="258" t="s">
        <v>153</v>
      </c>
      <c r="T15" s="258" t="s">
        <v>154</v>
      </c>
      <c r="U15" s="258" t="s">
        <v>155</v>
      </c>
      <c r="V15" s="257" t="s">
        <v>160</v>
      </c>
      <c r="W15" s="258" t="s">
        <v>138</v>
      </c>
      <c r="X15" s="258" t="s">
        <v>139</v>
      </c>
      <c r="Y15" s="258" t="s">
        <v>140</v>
      </c>
      <c r="Z15" s="258" t="s">
        <v>141</v>
      </c>
      <c r="AA15" s="258" t="s">
        <v>142</v>
      </c>
      <c r="AB15" s="258" t="s">
        <v>143</v>
      </c>
      <c r="AC15" s="258" t="s">
        <v>144</v>
      </c>
      <c r="AD15" s="258" t="s">
        <v>145</v>
      </c>
      <c r="AE15" s="258" t="s">
        <v>146</v>
      </c>
      <c r="AF15" s="258" t="s">
        <v>147</v>
      </c>
      <c r="AG15" s="258" t="s">
        <v>148</v>
      </c>
      <c r="AH15" s="258" t="s">
        <v>149</v>
      </c>
      <c r="AI15" s="258" t="s">
        <v>166</v>
      </c>
      <c r="AJ15" s="258" t="s">
        <v>156</v>
      </c>
      <c r="AK15" s="258" t="s">
        <v>157</v>
      </c>
      <c r="AL15" s="258" t="s">
        <v>158</v>
      </c>
      <c r="AM15" s="259" t="s">
        <v>159</v>
      </c>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c r="BQ15" s="260"/>
      <c r="BR15" s="260"/>
      <c r="BS15" s="260"/>
      <c r="BT15" s="260"/>
      <c r="BU15" s="260"/>
      <c r="BV15" s="260"/>
      <c r="BW15" s="260"/>
      <c r="BX15" s="260"/>
      <c r="BY15" s="260"/>
      <c r="BZ15" s="260"/>
      <c r="CA15" s="260"/>
      <c r="CB15" s="260"/>
      <c r="CC15" s="260"/>
      <c r="CD15" s="260"/>
      <c r="CE15" s="260"/>
      <c r="CF15" s="260"/>
      <c r="CG15" s="260"/>
      <c r="CH15" s="260"/>
      <c r="CI15" s="260"/>
      <c r="CJ15" s="260"/>
      <c r="CK15" s="260"/>
      <c r="CL15" s="260"/>
      <c r="CM15" s="260"/>
      <c r="CN15" s="260"/>
      <c r="CO15" s="260"/>
      <c r="CP15" s="260"/>
      <c r="CQ15" s="260"/>
      <c r="CR15" s="260"/>
      <c r="CS15" s="260"/>
      <c r="CT15" s="260"/>
      <c r="CU15" s="260"/>
      <c r="CV15" s="260"/>
      <c r="CW15" s="260"/>
      <c r="CX15" s="260"/>
      <c r="CY15" s="260"/>
      <c r="CZ15" s="260"/>
      <c r="DA15" s="260"/>
      <c r="DB15" s="260"/>
      <c r="DC15" s="260"/>
      <c r="DD15" s="260"/>
      <c r="DE15" s="260"/>
      <c r="DF15" s="260"/>
      <c r="DG15" s="260"/>
      <c r="DH15" s="260"/>
      <c r="DI15" s="260"/>
      <c r="DJ15" s="260"/>
      <c r="DK15" s="260"/>
      <c r="DL15" s="260"/>
      <c r="DM15" s="260"/>
      <c r="DN15" s="260"/>
      <c r="DO15" s="260"/>
      <c r="DP15" s="260"/>
      <c r="DQ15" s="260"/>
      <c r="DR15" s="260"/>
      <c r="DS15" s="260"/>
      <c r="DT15" s="260"/>
      <c r="DU15" s="260"/>
      <c r="DV15" s="260"/>
      <c r="DW15" s="260"/>
      <c r="DX15" s="260"/>
      <c r="DY15" s="260"/>
      <c r="DZ15" s="260"/>
      <c r="EA15" s="260"/>
      <c r="EB15" s="260"/>
      <c r="EC15" s="260"/>
      <c r="ED15" s="260"/>
      <c r="EE15" s="260"/>
      <c r="EF15" s="260"/>
      <c r="EG15" s="260"/>
      <c r="EH15" s="260"/>
      <c r="EI15" s="260"/>
      <c r="EJ15" s="260"/>
      <c r="EK15" s="260"/>
      <c r="EL15" s="260"/>
      <c r="EM15" s="260"/>
      <c r="EN15" s="260"/>
      <c r="EO15" s="260"/>
      <c r="EP15" s="260"/>
      <c r="EQ15" s="260"/>
      <c r="ER15" s="260"/>
      <c r="ES15" s="260"/>
      <c r="ET15" s="260"/>
      <c r="EU15" s="260"/>
      <c r="EV15" s="260"/>
      <c r="EW15" s="260"/>
      <c r="EX15" s="260"/>
      <c r="EY15" s="260"/>
      <c r="EZ15" s="260"/>
      <c r="FA15" s="260"/>
      <c r="FB15" s="260"/>
      <c r="FC15" s="260"/>
      <c r="FD15" s="260"/>
      <c r="FE15" s="260"/>
      <c r="FF15" s="260"/>
      <c r="FG15" s="260"/>
      <c r="FH15" s="260"/>
      <c r="FI15" s="260"/>
      <c r="FJ15" s="260"/>
      <c r="FK15" s="260"/>
      <c r="FL15" s="260"/>
      <c r="FM15" s="260"/>
      <c r="FN15" s="260"/>
      <c r="FO15" s="260"/>
      <c r="FP15" s="260"/>
      <c r="FQ15" s="260"/>
      <c r="FR15" s="260"/>
      <c r="FS15" s="260"/>
      <c r="FT15" s="260"/>
      <c r="FU15" s="260"/>
      <c r="FV15" s="260"/>
      <c r="FW15" s="260"/>
      <c r="FX15" s="260"/>
      <c r="FY15" s="260"/>
      <c r="FZ15" s="260"/>
      <c r="GA15" s="260"/>
      <c r="GB15" s="260"/>
      <c r="GC15" s="260"/>
      <c r="GD15" s="260"/>
      <c r="GE15" s="260"/>
      <c r="GF15" s="260"/>
      <c r="GG15" s="260"/>
      <c r="GH15" s="260"/>
      <c r="GI15" s="260"/>
      <c r="GJ15" s="260"/>
      <c r="GK15" s="260"/>
      <c r="GL15" s="260"/>
      <c r="GM15" s="260"/>
      <c r="GN15" s="260"/>
      <c r="GO15" s="260"/>
      <c r="GP15" s="260"/>
      <c r="GQ15" s="260"/>
      <c r="GR15" s="260"/>
      <c r="GS15" s="260"/>
      <c r="GT15" s="260"/>
      <c r="GU15" s="260"/>
      <c r="GV15" s="260"/>
      <c r="GW15" s="260"/>
      <c r="GX15" s="260"/>
      <c r="GY15" s="260"/>
      <c r="GZ15" s="260"/>
      <c r="HA15" s="260"/>
      <c r="HB15" s="260"/>
      <c r="HC15" s="260"/>
      <c r="HD15" s="260"/>
      <c r="HE15" s="260"/>
      <c r="HF15" s="260"/>
      <c r="HG15" s="260"/>
      <c r="HH15" s="260"/>
      <c r="HI15" s="260"/>
      <c r="HJ15" s="260"/>
      <c r="HK15" s="260"/>
      <c r="HL15" s="260"/>
      <c r="HM15" s="260"/>
      <c r="HN15" s="260"/>
      <c r="HO15" s="260"/>
      <c r="HP15" s="260"/>
      <c r="HQ15" s="260"/>
      <c r="HR15" s="260"/>
      <c r="HS15" s="260"/>
      <c r="HT15" s="260"/>
      <c r="HU15" s="260"/>
      <c r="HV15" s="260"/>
      <c r="HW15" s="260"/>
      <c r="HX15" s="260"/>
      <c r="HY15" s="260"/>
      <c r="HZ15" s="260"/>
      <c r="IA15" s="260"/>
      <c r="IB15" s="260"/>
      <c r="IC15" s="260"/>
      <c r="ID15" s="260"/>
      <c r="IE15" s="260"/>
      <c r="IF15" s="260"/>
      <c r="IG15" s="260"/>
      <c r="IH15" s="260"/>
      <c r="II15" s="260"/>
      <c r="IJ15" s="260"/>
      <c r="IK15" s="260"/>
      <c r="IL15" s="260"/>
      <c r="IM15" s="260"/>
      <c r="IN15" s="260"/>
      <c r="IO15" s="260"/>
      <c r="IP15" s="260"/>
      <c r="IQ15" s="260"/>
      <c r="IR15" s="260"/>
      <c r="IS15" s="260"/>
      <c r="IT15" s="260"/>
      <c r="IU15" s="260"/>
      <c r="IV15" s="260"/>
      <c r="IW15" s="260"/>
      <c r="IX15" s="260"/>
      <c r="IY15" s="260"/>
      <c r="IZ15" s="260"/>
      <c r="JA15" s="260"/>
      <c r="JB15" s="260"/>
      <c r="JC15" s="260"/>
      <c r="JD15" s="260"/>
      <c r="JE15" s="260"/>
      <c r="JF15" s="260"/>
      <c r="JG15" s="260"/>
      <c r="JH15" s="260"/>
      <c r="JI15" s="260"/>
      <c r="JJ15" s="260"/>
      <c r="JK15" s="260"/>
      <c r="JL15" s="260"/>
      <c r="JM15" s="260"/>
      <c r="JN15" s="260"/>
      <c r="JO15" s="260"/>
      <c r="JP15" s="260"/>
      <c r="JQ15" s="260"/>
      <c r="JR15" s="260"/>
      <c r="JS15" s="260"/>
      <c r="JT15" s="260"/>
      <c r="JU15" s="260"/>
      <c r="JV15" s="260"/>
      <c r="JW15" s="260"/>
      <c r="JX15" s="260"/>
      <c r="JY15" s="260"/>
      <c r="JZ15" s="260"/>
      <c r="KA15" s="260"/>
      <c r="KB15" s="260"/>
      <c r="KC15" s="260"/>
      <c r="KD15" s="260"/>
      <c r="KE15" s="260"/>
      <c r="KF15" s="260"/>
      <c r="KG15" s="260"/>
      <c r="KH15" s="260"/>
      <c r="KI15" s="260"/>
      <c r="KJ15" s="260"/>
      <c r="KK15" s="260"/>
      <c r="KL15" s="260"/>
      <c r="KM15" s="260"/>
      <c r="KN15" s="260"/>
      <c r="KO15" s="260"/>
      <c r="KP15" s="260"/>
      <c r="KQ15" s="260"/>
      <c r="KR15" s="260"/>
      <c r="KS15" s="260"/>
      <c r="KT15" s="260"/>
      <c r="KU15" s="260"/>
      <c r="KV15" s="260"/>
      <c r="KW15" s="260"/>
      <c r="KX15" s="260"/>
      <c r="KY15" s="260"/>
      <c r="KZ15" s="260"/>
      <c r="LA15" s="260"/>
      <c r="LB15" s="260"/>
      <c r="LC15" s="260"/>
      <c r="LD15" s="260"/>
      <c r="LE15" s="260"/>
      <c r="LF15" s="260"/>
      <c r="LG15" s="260"/>
      <c r="LH15" s="260"/>
      <c r="LI15" s="260"/>
      <c r="LJ15" s="260"/>
      <c r="LK15" s="260"/>
      <c r="LL15" s="260"/>
      <c r="LM15" s="260"/>
      <c r="LN15" s="260"/>
      <c r="LO15" s="260"/>
      <c r="LP15" s="260"/>
      <c r="LQ15" s="260"/>
      <c r="LR15" s="260"/>
      <c r="LS15" s="260"/>
      <c r="LT15" s="260"/>
      <c r="LU15" s="260"/>
      <c r="LV15" s="260"/>
      <c r="LW15" s="260"/>
      <c r="LX15" s="260"/>
      <c r="LY15" s="260"/>
      <c r="LZ15" s="260"/>
      <c r="MA15" s="260"/>
      <c r="MB15" s="260"/>
      <c r="MC15" s="260"/>
      <c r="MD15" s="260"/>
      <c r="ME15" s="260"/>
      <c r="MF15" s="260"/>
      <c r="MG15" s="260"/>
      <c r="MH15" s="260"/>
      <c r="MI15" s="260"/>
      <c r="MJ15" s="260"/>
      <c r="MK15" s="260"/>
      <c r="ML15" s="260"/>
      <c r="MM15" s="260"/>
      <c r="MN15" s="260"/>
      <c r="MO15" s="260"/>
      <c r="MP15" s="260"/>
      <c r="MQ15" s="260"/>
      <c r="MR15" s="260"/>
      <c r="MS15" s="260"/>
      <c r="MT15" s="260"/>
      <c r="MU15" s="260"/>
      <c r="MV15" s="260"/>
      <c r="MW15" s="260"/>
      <c r="MX15" s="260"/>
      <c r="MY15" s="260"/>
      <c r="MZ15" s="260"/>
      <c r="NA15" s="260"/>
      <c r="NB15" s="260"/>
      <c r="NC15" s="260"/>
      <c r="ND15" s="260"/>
      <c r="NE15" s="260"/>
      <c r="NF15" s="260"/>
      <c r="NG15" s="260"/>
      <c r="NH15" s="260"/>
      <c r="NI15" s="260"/>
      <c r="NJ15" s="260"/>
      <c r="NK15" s="260"/>
      <c r="NL15" s="260"/>
      <c r="NM15" s="260"/>
      <c r="NN15" s="260"/>
      <c r="NO15" s="260"/>
      <c r="NP15" s="260"/>
      <c r="NQ15" s="260"/>
      <c r="NR15" s="260"/>
      <c r="NS15" s="260"/>
      <c r="NT15" s="260"/>
      <c r="NU15" s="260"/>
      <c r="NV15" s="260"/>
      <c r="NW15" s="260"/>
      <c r="NX15" s="260"/>
      <c r="NY15" s="260"/>
      <c r="NZ15" s="260"/>
      <c r="OA15" s="260"/>
      <c r="OB15" s="260"/>
      <c r="OC15" s="260"/>
      <c r="OD15" s="260"/>
      <c r="OE15" s="260"/>
      <c r="OF15" s="260"/>
      <c r="OG15" s="260"/>
      <c r="OH15" s="260"/>
      <c r="OI15" s="260"/>
      <c r="OJ15" s="260"/>
      <c r="OK15" s="260"/>
      <c r="OL15" s="260"/>
      <c r="OM15" s="260"/>
      <c r="ON15" s="260"/>
      <c r="OO15" s="260"/>
      <c r="OP15" s="260"/>
      <c r="OQ15" s="260"/>
      <c r="OR15" s="260"/>
      <c r="OS15" s="260"/>
      <c r="OT15" s="260"/>
      <c r="OU15" s="260"/>
      <c r="OV15" s="260"/>
      <c r="OW15" s="260"/>
      <c r="OX15" s="260"/>
      <c r="OY15" s="260"/>
      <c r="OZ15" s="260"/>
      <c r="PA15" s="260"/>
      <c r="PB15" s="260"/>
      <c r="PC15" s="260"/>
      <c r="PD15" s="260"/>
      <c r="PE15" s="260"/>
      <c r="PF15" s="260"/>
      <c r="PG15" s="260"/>
      <c r="PH15" s="260"/>
      <c r="PI15" s="260"/>
      <c r="PJ15" s="260"/>
      <c r="PK15" s="260"/>
      <c r="PL15" s="260"/>
      <c r="PM15" s="260"/>
      <c r="PN15" s="260"/>
      <c r="PO15" s="260"/>
      <c r="PP15" s="260"/>
      <c r="PQ15" s="260"/>
      <c r="PR15" s="260"/>
      <c r="PS15" s="260"/>
      <c r="PT15" s="260"/>
      <c r="PU15" s="260"/>
      <c r="PV15" s="260"/>
      <c r="PW15" s="260"/>
      <c r="PX15" s="260"/>
      <c r="PY15" s="260"/>
      <c r="PZ15" s="260"/>
      <c r="QA15" s="260"/>
      <c r="QB15" s="260"/>
      <c r="QC15" s="260"/>
      <c r="QD15" s="260"/>
      <c r="QE15" s="260"/>
      <c r="QF15" s="260"/>
      <c r="QG15" s="260"/>
      <c r="QH15" s="260"/>
      <c r="QI15" s="260"/>
      <c r="QJ15" s="260"/>
      <c r="QK15" s="260"/>
      <c r="QL15" s="260"/>
      <c r="QM15" s="260"/>
      <c r="QN15" s="260"/>
      <c r="QO15" s="260"/>
      <c r="QP15" s="260"/>
      <c r="QQ15" s="260"/>
      <c r="QR15" s="260"/>
      <c r="QS15" s="260"/>
      <c r="QT15" s="260"/>
      <c r="QU15" s="260"/>
      <c r="QV15" s="260"/>
      <c r="QW15" s="260"/>
      <c r="QX15" s="260"/>
      <c r="QY15" s="260"/>
      <c r="QZ15" s="260"/>
      <c r="RA15" s="260"/>
      <c r="RB15" s="260"/>
      <c r="RC15" s="260"/>
      <c r="RD15" s="260"/>
      <c r="RE15" s="260"/>
      <c r="RF15" s="260"/>
      <c r="RG15" s="260"/>
      <c r="RH15" s="260"/>
      <c r="RI15" s="260"/>
      <c r="RJ15" s="260"/>
      <c r="RK15" s="260"/>
      <c r="RL15" s="260"/>
      <c r="RM15" s="260"/>
      <c r="RN15" s="260"/>
      <c r="RO15" s="260"/>
      <c r="RP15" s="260"/>
      <c r="RQ15" s="260"/>
      <c r="RR15" s="260"/>
      <c r="RS15" s="260"/>
      <c r="RT15" s="260"/>
      <c r="RU15" s="260"/>
      <c r="RV15" s="260"/>
      <c r="RW15" s="260"/>
      <c r="RX15" s="260"/>
      <c r="RY15" s="260"/>
      <c r="RZ15" s="260"/>
      <c r="SA15" s="260"/>
      <c r="SB15" s="260"/>
      <c r="SC15" s="260"/>
      <c r="SD15" s="260"/>
      <c r="SE15" s="260"/>
      <c r="SF15" s="260"/>
      <c r="SG15" s="260"/>
      <c r="SH15" s="260"/>
      <c r="SI15" s="260"/>
      <c r="SJ15" s="260"/>
      <c r="SK15" s="260"/>
      <c r="SL15" s="260"/>
      <c r="SM15" s="260"/>
      <c r="SN15" s="260"/>
      <c r="SO15" s="260"/>
      <c r="SP15" s="260"/>
      <c r="SQ15" s="260"/>
      <c r="SR15" s="260"/>
      <c r="SS15" s="260"/>
      <c r="ST15" s="260"/>
      <c r="SU15" s="260"/>
      <c r="SV15" s="260"/>
      <c r="SW15" s="260"/>
      <c r="SX15" s="260"/>
      <c r="SY15" s="260"/>
      <c r="SZ15" s="260"/>
      <c r="TA15" s="260"/>
      <c r="TB15" s="260"/>
      <c r="TC15" s="260"/>
      <c r="TD15" s="260"/>
      <c r="TE15" s="260"/>
      <c r="TF15" s="260"/>
      <c r="TG15" s="260"/>
      <c r="TH15" s="260"/>
      <c r="TI15" s="260"/>
      <c r="TJ15" s="260"/>
      <c r="TK15" s="260"/>
      <c r="TL15" s="260"/>
      <c r="TM15" s="260"/>
      <c r="TN15" s="260"/>
      <c r="TO15" s="260"/>
      <c r="TP15" s="260"/>
      <c r="TQ15" s="260"/>
      <c r="TR15" s="260"/>
      <c r="TS15" s="260"/>
      <c r="TT15" s="260"/>
      <c r="TU15" s="260"/>
      <c r="TV15" s="260"/>
      <c r="TW15" s="260"/>
      <c r="TX15" s="260"/>
      <c r="TY15" s="260"/>
      <c r="TZ15" s="260"/>
      <c r="UA15" s="260"/>
      <c r="UB15" s="260"/>
      <c r="UC15" s="260"/>
      <c r="UD15" s="260"/>
      <c r="UE15" s="260"/>
      <c r="UF15" s="260"/>
      <c r="UG15" s="260"/>
      <c r="UH15" s="260"/>
      <c r="UI15" s="260"/>
      <c r="UJ15" s="260"/>
      <c r="UK15" s="260"/>
      <c r="UL15" s="260"/>
      <c r="UM15" s="260"/>
      <c r="UN15" s="260"/>
      <c r="UO15" s="260"/>
      <c r="UP15" s="260"/>
      <c r="UQ15" s="260"/>
      <c r="UR15" s="260"/>
      <c r="US15" s="260"/>
      <c r="UT15" s="260"/>
      <c r="UU15" s="260"/>
      <c r="UV15" s="260"/>
      <c r="UW15" s="260"/>
      <c r="UX15" s="260"/>
      <c r="UY15" s="260"/>
      <c r="UZ15" s="260"/>
      <c r="VA15" s="260"/>
      <c r="VB15" s="260"/>
      <c r="VC15" s="260"/>
      <c r="VD15" s="260"/>
      <c r="VE15" s="260"/>
      <c r="VF15" s="260"/>
      <c r="VG15" s="260"/>
      <c r="VH15" s="260"/>
      <c r="VI15" s="260"/>
      <c r="VJ15" s="260"/>
      <c r="VK15" s="260"/>
      <c r="VL15" s="260"/>
      <c r="VM15" s="260"/>
      <c r="VN15" s="260"/>
      <c r="VO15" s="260"/>
      <c r="VP15" s="260"/>
      <c r="VQ15" s="260"/>
      <c r="VR15" s="260"/>
      <c r="VS15" s="260"/>
      <c r="VT15" s="260"/>
      <c r="VU15" s="260"/>
      <c r="VV15" s="260"/>
      <c r="VW15" s="260"/>
      <c r="VX15" s="260"/>
      <c r="VY15" s="260"/>
      <c r="VZ15" s="260"/>
      <c r="WA15" s="260"/>
      <c r="WB15" s="260"/>
      <c r="WC15" s="260"/>
      <c r="WD15" s="260"/>
      <c r="WE15" s="260"/>
      <c r="WF15" s="260"/>
      <c r="WG15" s="260"/>
      <c r="WH15" s="260"/>
      <c r="WI15" s="260"/>
      <c r="WJ15" s="260"/>
      <c r="WK15" s="260"/>
      <c r="WL15" s="260"/>
      <c r="WM15" s="260"/>
      <c r="WN15" s="260"/>
      <c r="WO15" s="260"/>
      <c r="WP15" s="260"/>
      <c r="WQ15" s="260"/>
      <c r="WR15" s="260"/>
      <c r="WS15" s="260"/>
      <c r="WT15" s="260"/>
      <c r="WU15" s="260"/>
      <c r="WV15" s="260"/>
      <c r="WW15" s="260"/>
      <c r="WX15" s="260"/>
      <c r="WY15" s="260"/>
      <c r="WZ15" s="260"/>
      <c r="XA15" s="260"/>
      <c r="XB15" s="260"/>
      <c r="XC15" s="260"/>
      <c r="XD15" s="260"/>
      <c r="XE15" s="260"/>
      <c r="XF15" s="260"/>
      <c r="XG15" s="260"/>
      <c r="XH15" s="260"/>
      <c r="XI15" s="260"/>
      <c r="XJ15" s="260"/>
      <c r="XK15" s="260"/>
      <c r="XL15" s="260"/>
      <c r="XM15" s="260"/>
      <c r="XN15" s="260"/>
      <c r="XO15" s="260"/>
      <c r="XP15" s="260"/>
      <c r="XQ15" s="260"/>
      <c r="XR15" s="260"/>
      <c r="XS15" s="260"/>
      <c r="XT15" s="260"/>
      <c r="XU15" s="260"/>
      <c r="XV15" s="260"/>
      <c r="XW15" s="260"/>
      <c r="XX15" s="260"/>
      <c r="XY15" s="260"/>
      <c r="XZ15" s="260"/>
      <c r="YA15" s="260"/>
      <c r="YB15" s="260"/>
      <c r="YC15" s="260"/>
      <c r="YD15" s="260"/>
      <c r="YE15" s="260"/>
      <c r="YF15" s="260"/>
      <c r="YG15" s="260"/>
      <c r="YH15" s="260"/>
      <c r="YI15" s="260"/>
      <c r="YJ15" s="260"/>
      <c r="YK15" s="260"/>
      <c r="YL15" s="260"/>
      <c r="YM15" s="260"/>
      <c r="YN15" s="260"/>
      <c r="YO15" s="260"/>
      <c r="YP15" s="260"/>
      <c r="YQ15" s="260"/>
      <c r="YR15" s="260"/>
      <c r="YS15" s="260"/>
      <c r="YT15" s="260"/>
      <c r="YU15" s="260"/>
      <c r="YV15" s="260"/>
      <c r="YW15" s="260"/>
      <c r="YX15" s="260"/>
      <c r="YY15" s="260"/>
      <c r="YZ15" s="260"/>
      <c r="ZA15" s="260"/>
      <c r="ZB15" s="260"/>
      <c r="ZC15" s="260"/>
      <c r="ZD15" s="260"/>
      <c r="ZE15" s="260"/>
      <c r="ZF15" s="260"/>
      <c r="ZG15" s="260"/>
      <c r="ZH15" s="260"/>
      <c r="ZI15" s="260"/>
      <c r="ZJ15" s="260"/>
      <c r="ZK15" s="260"/>
      <c r="ZL15" s="260"/>
      <c r="ZM15" s="260"/>
      <c r="ZN15" s="260"/>
      <c r="ZO15" s="260"/>
      <c r="ZP15" s="260"/>
      <c r="ZQ15" s="260"/>
      <c r="ZR15" s="260"/>
      <c r="ZS15" s="260"/>
      <c r="ZT15" s="260"/>
      <c r="ZU15" s="260"/>
      <c r="ZV15" s="260"/>
      <c r="ZW15" s="260"/>
      <c r="ZX15" s="260"/>
      <c r="ZY15" s="260"/>
      <c r="ZZ15" s="260"/>
      <c r="AAA15" s="260"/>
      <c r="AAB15" s="260"/>
      <c r="AAC15" s="260"/>
      <c r="AAD15" s="260"/>
      <c r="AAE15" s="260"/>
      <c r="AAF15" s="260"/>
      <c r="AAG15" s="260"/>
      <c r="AAH15" s="260"/>
      <c r="AAI15" s="260"/>
      <c r="AAJ15" s="260"/>
      <c r="AAK15" s="260"/>
      <c r="AAL15" s="260"/>
      <c r="AAM15" s="260"/>
      <c r="AAN15" s="260"/>
      <c r="AAO15" s="260"/>
      <c r="AAP15" s="260"/>
      <c r="AAQ15" s="260"/>
      <c r="AAR15" s="260"/>
      <c r="AAS15" s="260"/>
      <c r="AAT15" s="260"/>
      <c r="AAU15" s="260"/>
      <c r="AAV15" s="260"/>
      <c r="AAW15" s="260"/>
      <c r="AAX15" s="260"/>
      <c r="AAY15" s="260"/>
      <c r="AAZ15" s="260"/>
      <c r="ABA15" s="260"/>
      <c r="ABB15" s="260"/>
      <c r="ABC15" s="260"/>
      <c r="ABD15" s="260"/>
      <c r="ABE15" s="260"/>
      <c r="ABF15" s="260"/>
      <c r="ABG15" s="260"/>
      <c r="ABH15" s="260"/>
      <c r="ABI15" s="260"/>
      <c r="ABJ15" s="260"/>
      <c r="ABK15" s="260"/>
      <c r="ABL15" s="260"/>
      <c r="ABM15" s="260"/>
      <c r="ABN15" s="260"/>
      <c r="ABO15" s="260"/>
      <c r="ABP15" s="260"/>
      <c r="ABQ15" s="260"/>
      <c r="ABR15" s="260"/>
      <c r="ABS15" s="260"/>
      <c r="ABT15" s="260"/>
      <c r="ABU15" s="260"/>
      <c r="ABV15" s="260"/>
      <c r="ABW15" s="260"/>
      <c r="ABX15" s="260"/>
      <c r="ABY15" s="260"/>
      <c r="ABZ15" s="260"/>
      <c r="ACA15" s="260"/>
      <c r="ACB15" s="260"/>
      <c r="ACC15" s="260"/>
      <c r="ACD15" s="260"/>
      <c r="ACE15" s="260"/>
      <c r="ACF15" s="260"/>
      <c r="ACG15" s="260"/>
      <c r="ACH15" s="260"/>
      <c r="ACI15" s="260"/>
      <c r="ACJ15" s="260"/>
      <c r="ACK15" s="260"/>
      <c r="ACL15" s="260"/>
      <c r="ACM15" s="260"/>
      <c r="ACN15" s="260"/>
      <c r="ACO15" s="260"/>
      <c r="ACP15" s="260"/>
      <c r="ACQ15" s="260"/>
      <c r="ACR15" s="260"/>
      <c r="ACS15" s="260"/>
      <c r="ACT15" s="260"/>
      <c r="ACU15" s="260"/>
      <c r="ACV15" s="260"/>
      <c r="ACW15" s="260"/>
      <c r="ACX15" s="260"/>
      <c r="ACY15" s="260"/>
      <c r="ACZ15" s="260"/>
      <c r="ADA15" s="260"/>
      <c r="ADB15" s="260"/>
      <c r="ADC15" s="260"/>
      <c r="ADD15" s="260"/>
      <c r="ADE15" s="260"/>
      <c r="ADF15" s="260"/>
      <c r="ADG15" s="260"/>
      <c r="ADH15" s="260"/>
      <c r="ADI15" s="260"/>
      <c r="ADJ15" s="260"/>
      <c r="ADK15" s="260"/>
      <c r="ADL15" s="260"/>
      <c r="ADM15" s="260"/>
      <c r="ADN15" s="260"/>
      <c r="ADO15" s="260"/>
      <c r="ADP15" s="260"/>
      <c r="ADQ15" s="260"/>
      <c r="ADR15" s="260"/>
      <c r="ADS15" s="260"/>
      <c r="ADT15" s="260"/>
      <c r="ADU15" s="260"/>
      <c r="ADV15" s="260"/>
      <c r="ADW15" s="260"/>
      <c r="ADX15" s="260"/>
      <c r="ADY15" s="260"/>
      <c r="ADZ15" s="260"/>
      <c r="AEA15" s="260"/>
      <c r="AEB15" s="260"/>
      <c r="AEC15" s="260"/>
      <c r="AED15" s="260"/>
      <c r="AEE15" s="260"/>
      <c r="AEF15" s="260"/>
      <c r="AEG15" s="260"/>
      <c r="AEH15" s="260"/>
      <c r="AEI15" s="260"/>
      <c r="AEJ15" s="260"/>
      <c r="AEK15" s="260"/>
      <c r="AEL15" s="260"/>
      <c r="AEM15" s="260"/>
      <c r="AEN15" s="260"/>
      <c r="AEO15" s="260"/>
      <c r="AEP15" s="260"/>
      <c r="AEQ15" s="260"/>
      <c r="AER15" s="260"/>
      <c r="AES15" s="260"/>
      <c r="AET15" s="260"/>
      <c r="AEU15" s="260"/>
      <c r="AEV15" s="260"/>
      <c r="AEW15" s="260"/>
      <c r="AEX15" s="260"/>
      <c r="AEY15" s="260"/>
      <c r="AEZ15" s="260"/>
      <c r="AFA15" s="260"/>
      <c r="AFB15" s="260"/>
      <c r="AFC15" s="260"/>
      <c r="AFD15" s="260"/>
      <c r="AFE15" s="260"/>
      <c r="AFF15" s="260"/>
      <c r="AFG15" s="260"/>
      <c r="AFH15" s="260"/>
      <c r="AFI15" s="260"/>
      <c r="AFJ15" s="260"/>
      <c r="AFK15" s="260"/>
      <c r="AFL15" s="260"/>
      <c r="AFM15" s="260"/>
      <c r="AFN15" s="260"/>
      <c r="AFO15" s="260"/>
      <c r="AFP15" s="260"/>
      <c r="AFQ15" s="260"/>
      <c r="AFR15" s="260"/>
      <c r="AFS15" s="260"/>
      <c r="AFT15" s="260"/>
      <c r="AFU15" s="260"/>
      <c r="AFV15" s="260"/>
      <c r="AFW15" s="260"/>
      <c r="AFX15" s="260"/>
      <c r="AFY15" s="260"/>
      <c r="AFZ15" s="260"/>
      <c r="AGA15" s="260"/>
      <c r="AGB15" s="260"/>
      <c r="AGC15" s="260"/>
      <c r="AGD15" s="260"/>
      <c r="AGE15" s="260"/>
      <c r="AGF15" s="260"/>
      <c r="AGG15" s="260"/>
      <c r="AGH15" s="260"/>
      <c r="AGI15" s="260"/>
      <c r="AGJ15" s="260"/>
      <c r="AGK15" s="260"/>
      <c r="AGL15" s="260"/>
      <c r="AGM15" s="260"/>
      <c r="AGN15" s="260"/>
      <c r="AGO15" s="260"/>
      <c r="AGP15" s="260"/>
      <c r="AGQ15" s="260"/>
      <c r="AGR15" s="260"/>
      <c r="AGS15" s="260"/>
      <c r="AGT15" s="260"/>
      <c r="AGU15" s="260"/>
      <c r="AGV15" s="260"/>
      <c r="AGW15" s="260"/>
      <c r="AGX15" s="260"/>
      <c r="AGY15" s="260"/>
      <c r="AGZ15" s="260"/>
      <c r="AHA15" s="260"/>
      <c r="AHB15" s="260"/>
      <c r="AHC15" s="260"/>
      <c r="AHD15" s="260"/>
      <c r="AHE15" s="260"/>
      <c r="AHF15" s="260"/>
      <c r="AHG15" s="260"/>
      <c r="AHH15" s="260"/>
      <c r="AHI15" s="260"/>
      <c r="AHJ15" s="260"/>
      <c r="AHK15" s="260"/>
      <c r="AHL15" s="260"/>
      <c r="AHM15" s="260"/>
      <c r="AHN15" s="260"/>
      <c r="AHO15" s="260"/>
      <c r="AHP15" s="260"/>
      <c r="AHQ15" s="260"/>
      <c r="AHR15" s="260"/>
      <c r="AHS15" s="260"/>
      <c r="AHT15" s="260"/>
      <c r="AHU15" s="260"/>
      <c r="AHV15" s="260"/>
      <c r="AHW15" s="260"/>
      <c r="AHX15" s="260"/>
      <c r="AHY15" s="260"/>
      <c r="AHZ15" s="260"/>
      <c r="AIA15" s="260"/>
      <c r="AIB15" s="260"/>
      <c r="AIC15" s="260"/>
      <c r="AID15" s="260"/>
      <c r="AIE15" s="260"/>
      <c r="AIF15" s="260"/>
      <c r="AIG15" s="260"/>
      <c r="AIH15" s="260"/>
      <c r="AII15" s="260"/>
      <c r="AIJ15" s="260"/>
      <c r="AIK15" s="260"/>
      <c r="AIL15" s="260"/>
      <c r="AIM15" s="260"/>
      <c r="AIN15" s="260"/>
      <c r="AIO15" s="260"/>
      <c r="AIP15" s="260"/>
      <c r="AIQ15" s="260"/>
      <c r="AIR15" s="260"/>
      <c r="AIS15" s="260"/>
      <c r="AIT15" s="260"/>
      <c r="AIU15" s="260"/>
      <c r="AIV15" s="260"/>
      <c r="AIW15" s="260"/>
      <c r="AIX15" s="260"/>
      <c r="AIY15" s="260"/>
      <c r="AIZ15" s="260"/>
      <c r="AJA15" s="260"/>
      <c r="AJB15" s="260"/>
      <c r="AJC15" s="260"/>
      <c r="AJD15" s="260"/>
      <c r="AJE15" s="260"/>
      <c r="AJF15" s="260"/>
      <c r="AJG15" s="260"/>
      <c r="AJH15" s="260"/>
      <c r="AJI15" s="260"/>
      <c r="AJJ15" s="260"/>
      <c r="AJK15" s="260"/>
      <c r="AJL15" s="260"/>
      <c r="AJM15" s="260"/>
      <c r="AJN15" s="260"/>
      <c r="AJO15" s="260"/>
      <c r="AJP15" s="260"/>
      <c r="AJQ15" s="260"/>
      <c r="AJR15" s="260"/>
      <c r="AJS15" s="260"/>
      <c r="AJT15" s="260"/>
      <c r="AJU15" s="260"/>
      <c r="AJV15" s="260"/>
      <c r="AJW15" s="260"/>
      <c r="AJX15" s="260"/>
      <c r="AJY15" s="260"/>
      <c r="AJZ15" s="260"/>
      <c r="AKA15" s="260"/>
      <c r="AKB15" s="260"/>
      <c r="AKC15" s="260"/>
      <c r="AKD15" s="260"/>
      <c r="AKE15" s="260"/>
      <c r="AKF15" s="260"/>
      <c r="AKG15" s="260"/>
      <c r="AKH15" s="260"/>
      <c r="AKI15" s="260"/>
      <c r="AKJ15" s="260"/>
      <c r="AKK15" s="260"/>
      <c r="AKL15" s="260"/>
      <c r="AKM15" s="260"/>
      <c r="AKN15" s="260"/>
      <c r="AKO15" s="260"/>
      <c r="AKP15" s="260"/>
      <c r="AKQ15" s="260"/>
      <c r="AKR15" s="260"/>
      <c r="AKS15" s="260"/>
      <c r="AKT15" s="260"/>
      <c r="AKU15" s="260"/>
      <c r="AKV15" s="260"/>
      <c r="AKW15" s="260"/>
      <c r="AKX15" s="260"/>
      <c r="AKY15" s="260"/>
      <c r="AKZ15" s="260"/>
      <c r="ALA15" s="260"/>
      <c r="ALB15" s="260"/>
      <c r="ALC15" s="260"/>
      <c r="ALD15" s="260"/>
      <c r="ALE15" s="260"/>
      <c r="ALF15" s="260"/>
      <c r="ALG15" s="260"/>
      <c r="ALH15" s="260"/>
      <c r="ALI15" s="260"/>
      <c r="ALJ15" s="260"/>
      <c r="ALK15" s="260"/>
      <c r="ALL15" s="260"/>
      <c r="ALM15" s="260"/>
      <c r="ALN15" s="260"/>
      <c r="ALO15" s="260"/>
      <c r="ALP15" s="260"/>
      <c r="ALQ15" s="260"/>
      <c r="ALR15" s="260"/>
      <c r="ALS15" s="260"/>
      <c r="ALT15" s="260"/>
      <c r="ALU15" s="260"/>
      <c r="ALV15" s="260"/>
      <c r="ALW15" s="260"/>
      <c r="ALX15" s="260"/>
      <c r="ALY15" s="260"/>
      <c r="ALZ15" s="260"/>
      <c r="AMA15" s="260"/>
      <c r="AMB15" s="260"/>
      <c r="AMC15" s="260"/>
      <c r="AMD15" s="260"/>
      <c r="AME15" s="260"/>
      <c r="AMF15" s="260"/>
      <c r="AMG15" s="260"/>
      <c r="AMH15" s="260"/>
      <c r="AMI15" s="260"/>
      <c r="AMJ15" s="260"/>
      <c r="AMK15" s="260"/>
      <c r="AML15" s="260"/>
      <c r="AMM15" s="260"/>
      <c r="AMN15" s="260"/>
      <c r="AMO15" s="260"/>
      <c r="AMP15" s="260"/>
      <c r="AMQ15" s="260"/>
      <c r="AMR15" s="260"/>
      <c r="AMS15" s="260"/>
      <c r="AMT15" s="260"/>
      <c r="AMU15" s="260"/>
      <c r="AMV15" s="260"/>
      <c r="AMW15" s="260"/>
      <c r="AMX15" s="260"/>
      <c r="AMY15" s="260"/>
      <c r="AMZ15" s="260"/>
      <c r="ANA15" s="260"/>
      <c r="ANB15" s="260"/>
      <c r="ANC15" s="260"/>
      <c r="AND15" s="260"/>
      <c r="ANE15" s="260"/>
      <c r="ANF15" s="260"/>
      <c r="ANG15" s="260"/>
      <c r="ANH15" s="260"/>
      <c r="ANI15" s="260"/>
      <c r="ANJ15" s="260"/>
      <c r="ANK15" s="260"/>
      <c r="ANL15" s="260"/>
      <c r="ANM15" s="260"/>
      <c r="ANN15" s="260"/>
      <c r="ANO15" s="260"/>
      <c r="ANP15" s="260"/>
      <c r="ANQ15" s="260"/>
      <c r="ANR15" s="260"/>
      <c r="ANS15" s="260"/>
      <c r="ANT15" s="260"/>
      <c r="ANU15" s="260"/>
      <c r="ANV15" s="260"/>
      <c r="ANW15" s="260"/>
      <c r="ANX15" s="260"/>
      <c r="ANY15" s="260"/>
      <c r="ANZ15" s="260"/>
      <c r="AOA15" s="260"/>
      <c r="AOB15" s="260"/>
      <c r="AOC15" s="260"/>
      <c r="AOD15" s="260"/>
      <c r="AOE15" s="260"/>
      <c r="AOF15" s="260"/>
      <c r="AOG15" s="260"/>
      <c r="AOH15" s="260"/>
      <c r="AOI15" s="260"/>
      <c r="AOJ15" s="260"/>
      <c r="AOK15" s="260"/>
      <c r="AOL15" s="260"/>
      <c r="AOM15" s="260"/>
      <c r="AON15" s="260"/>
      <c r="AOO15" s="260"/>
      <c r="AOP15" s="260"/>
      <c r="AOQ15" s="260"/>
      <c r="AOR15" s="260"/>
      <c r="AOS15" s="260"/>
      <c r="AOT15" s="260"/>
      <c r="AOU15" s="260"/>
      <c r="AOV15" s="260"/>
      <c r="AOW15" s="260"/>
      <c r="AOX15" s="260"/>
      <c r="AOY15" s="260"/>
      <c r="AOZ15" s="260"/>
      <c r="APA15" s="260"/>
      <c r="APB15" s="260"/>
      <c r="APC15" s="260"/>
      <c r="APD15" s="260"/>
      <c r="APE15" s="260"/>
      <c r="APF15" s="260"/>
      <c r="APG15" s="260"/>
      <c r="APH15" s="260"/>
      <c r="API15" s="260"/>
      <c r="APJ15" s="260"/>
      <c r="APK15" s="260"/>
      <c r="APL15" s="260"/>
      <c r="APM15" s="260"/>
      <c r="APN15" s="260"/>
      <c r="APO15" s="260"/>
      <c r="APP15" s="260"/>
      <c r="APQ15" s="260"/>
      <c r="APR15" s="260"/>
      <c r="APS15" s="260"/>
      <c r="APT15" s="260"/>
      <c r="APU15" s="260"/>
      <c r="APV15" s="260"/>
      <c r="APW15" s="260"/>
      <c r="APX15" s="260"/>
      <c r="APY15" s="260"/>
      <c r="APZ15" s="260"/>
      <c r="AQA15" s="260"/>
      <c r="AQB15" s="260"/>
      <c r="AQC15" s="260"/>
      <c r="AQD15" s="260"/>
      <c r="AQE15" s="260"/>
      <c r="AQF15" s="260"/>
      <c r="AQG15" s="260"/>
      <c r="AQH15" s="260"/>
      <c r="AQI15" s="260"/>
      <c r="AQJ15" s="260"/>
      <c r="AQK15" s="260"/>
      <c r="AQL15" s="260"/>
      <c r="AQM15" s="260"/>
      <c r="AQN15" s="260"/>
      <c r="AQO15" s="260"/>
      <c r="AQP15" s="260"/>
      <c r="AQQ15" s="260"/>
      <c r="AQR15" s="260"/>
      <c r="AQS15" s="260"/>
      <c r="AQT15" s="260"/>
      <c r="AQU15" s="260"/>
      <c r="AQV15" s="260"/>
      <c r="AQW15" s="260"/>
      <c r="AQX15" s="260"/>
      <c r="AQY15" s="260"/>
      <c r="AQZ15" s="260"/>
      <c r="ARA15" s="260"/>
      <c r="ARB15" s="260"/>
      <c r="ARC15" s="260"/>
      <c r="ARD15" s="260"/>
      <c r="ARE15" s="260"/>
      <c r="ARF15" s="260"/>
      <c r="ARG15" s="260"/>
      <c r="ARH15" s="260"/>
      <c r="ARI15" s="260"/>
      <c r="ARJ15" s="260"/>
      <c r="ARK15" s="260"/>
      <c r="ARL15" s="260"/>
      <c r="ARM15" s="260"/>
      <c r="ARN15" s="260"/>
      <c r="ARO15" s="260"/>
      <c r="ARP15" s="260"/>
      <c r="ARQ15" s="260"/>
      <c r="ARR15" s="260"/>
      <c r="ARS15" s="260"/>
      <c r="ART15" s="260"/>
      <c r="ARU15" s="260"/>
      <c r="ARV15" s="260"/>
      <c r="ARW15" s="260"/>
      <c r="ARX15" s="260"/>
      <c r="ARY15" s="260"/>
      <c r="ARZ15" s="260"/>
      <c r="ASA15" s="260"/>
      <c r="ASB15" s="260"/>
      <c r="ASC15" s="260"/>
      <c r="ASD15" s="260"/>
      <c r="ASE15" s="260"/>
      <c r="ASF15" s="260"/>
      <c r="ASG15" s="260"/>
      <c r="ASH15" s="260"/>
      <c r="ASI15" s="260"/>
      <c r="ASJ15" s="260"/>
      <c r="ASK15" s="260"/>
      <c r="ASL15" s="260"/>
      <c r="ASM15" s="260"/>
      <c r="ASN15" s="260"/>
      <c r="ASO15" s="260"/>
      <c r="ASP15" s="260"/>
      <c r="ASQ15" s="260"/>
      <c r="ASR15" s="260"/>
      <c r="ASS15" s="260"/>
      <c r="AST15" s="260"/>
      <c r="ASU15" s="260"/>
      <c r="ASV15" s="260"/>
      <c r="ASW15" s="260"/>
      <c r="ASX15" s="260"/>
      <c r="ASY15" s="260"/>
      <c r="ASZ15" s="260"/>
      <c r="ATA15" s="260"/>
      <c r="ATB15" s="260"/>
      <c r="ATC15" s="260"/>
      <c r="ATD15" s="260"/>
      <c r="ATE15" s="260"/>
      <c r="ATF15" s="260"/>
      <c r="ATG15" s="260"/>
      <c r="ATH15" s="260"/>
      <c r="ATI15" s="260"/>
      <c r="ATJ15" s="260"/>
      <c r="ATK15" s="260"/>
      <c r="ATL15" s="260"/>
      <c r="ATM15" s="260"/>
      <c r="ATN15" s="260"/>
      <c r="ATO15" s="260"/>
      <c r="ATP15" s="260"/>
      <c r="ATQ15" s="260"/>
      <c r="ATR15" s="260"/>
      <c r="ATS15" s="260"/>
      <c r="ATT15" s="260"/>
      <c r="ATU15" s="260"/>
      <c r="ATV15" s="260"/>
      <c r="ATW15" s="260"/>
      <c r="ATX15" s="260"/>
      <c r="ATY15" s="260"/>
      <c r="ATZ15" s="260"/>
      <c r="AUA15" s="260"/>
      <c r="AUB15" s="260"/>
      <c r="AUC15" s="260"/>
      <c r="AUD15" s="260"/>
      <c r="AUE15" s="260"/>
      <c r="AUF15" s="260"/>
      <c r="AUG15" s="260"/>
      <c r="AUH15" s="260"/>
      <c r="AUI15" s="260"/>
      <c r="AUJ15" s="260"/>
      <c r="AUK15" s="260"/>
      <c r="AUL15" s="260"/>
      <c r="AUM15" s="260"/>
      <c r="AUN15" s="260"/>
      <c r="AUO15" s="260"/>
      <c r="AUP15" s="260"/>
      <c r="AUQ15" s="260"/>
      <c r="AUR15" s="260"/>
      <c r="AUS15" s="260"/>
      <c r="AUT15" s="260"/>
      <c r="AUU15" s="260"/>
      <c r="AUV15" s="260"/>
      <c r="AUW15" s="260"/>
      <c r="AUX15" s="260"/>
      <c r="AUY15" s="260"/>
      <c r="AUZ15" s="260"/>
      <c r="AVA15" s="260"/>
      <c r="AVB15" s="260"/>
      <c r="AVC15" s="260"/>
      <c r="AVD15" s="260"/>
      <c r="AVE15" s="260"/>
      <c r="AVF15" s="260"/>
      <c r="AVG15" s="260"/>
      <c r="AVH15" s="260"/>
      <c r="AVI15" s="260"/>
      <c r="AVJ15" s="260"/>
      <c r="AVK15" s="260"/>
      <c r="AVL15" s="260"/>
      <c r="AVM15" s="260"/>
      <c r="AVN15" s="260"/>
      <c r="AVO15" s="260"/>
      <c r="AVP15" s="260"/>
      <c r="AVQ15" s="260"/>
      <c r="AVR15" s="260"/>
      <c r="AVS15" s="260"/>
      <c r="AVT15" s="260"/>
      <c r="AVU15" s="260"/>
      <c r="AVV15" s="260"/>
      <c r="AVW15" s="260"/>
      <c r="AVX15" s="260"/>
      <c r="AVY15" s="260"/>
      <c r="AVZ15" s="260"/>
      <c r="AWA15" s="260"/>
      <c r="AWB15" s="260"/>
      <c r="AWC15" s="260"/>
      <c r="AWD15" s="260"/>
      <c r="AWE15" s="260"/>
      <c r="AWF15" s="260"/>
      <c r="AWG15" s="260"/>
      <c r="AWH15" s="260"/>
      <c r="AWI15" s="260"/>
      <c r="AWJ15" s="260"/>
      <c r="AWK15" s="260"/>
      <c r="AWL15" s="260"/>
      <c r="AWM15" s="260"/>
      <c r="AWN15" s="260"/>
      <c r="AWO15" s="260"/>
      <c r="AWP15" s="260"/>
      <c r="AWQ15" s="260"/>
      <c r="AWR15" s="260"/>
      <c r="AWS15" s="260"/>
      <c r="AWT15" s="260"/>
      <c r="AWU15" s="260"/>
      <c r="AWV15" s="260"/>
      <c r="AWW15" s="260"/>
      <c r="AWX15" s="260"/>
      <c r="AWY15" s="260"/>
      <c r="AWZ15" s="260"/>
      <c r="AXA15" s="260"/>
      <c r="AXB15" s="260"/>
      <c r="AXC15" s="260"/>
      <c r="AXD15" s="260"/>
      <c r="AXE15" s="260"/>
      <c r="AXF15" s="260"/>
      <c r="AXG15" s="260"/>
      <c r="AXH15" s="260"/>
      <c r="AXI15" s="260"/>
      <c r="AXJ15" s="260"/>
      <c r="AXK15" s="260"/>
      <c r="AXL15" s="260"/>
      <c r="AXM15" s="260"/>
      <c r="AXN15" s="260"/>
      <c r="AXO15" s="260"/>
      <c r="AXP15" s="260"/>
      <c r="AXQ15" s="260"/>
      <c r="AXR15" s="260"/>
      <c r="AXS15" s="260"/>
      <c r="AXT15" s="260"/>
      <c r="AXU15" s="260"/>
      <c r="AXV15" s="260"/>
      <c r="AXW15" s="260"/>
      <c r="AXX15" s="260"/>
      <c r="AXY15" s="260"/>
      <c r="AXZ15" s="260"/>
      <c r="AYA15" s="260"/>
      <c r="AYB15" s="260"/>
      <c r="AYC15" s="260"/>
      <c r="AYD15" s="260"/>
      <c r="AYE15" s="260"/>
      <c r="AYF15" s="260"/>
      <c r="AYG15" s="260"/>
      <c r="AYH15" s="260"/>
      <c r="AYI15" s="260"/>
      <c r="AYJ15" s="260"/>
      <c r="AYK15" s="260"/>
      <c r="AYL15" s="260"/>
      <c r="AYM15" s="260"/>
      <c r="AYN15" s="260"/>
      <c r="AYO15" s="260"/>
      <c r="AYP15" s="260"/>
      <c r="AYQ15" s="260"/>
      <c r="AYR15" s="260"/>
      <c r="AYS15" s="260"/>
      <c r="AYT15" s="260"/>
      <c r="AYU15" s="260"/>
      <c r="AYV15" s="260"/>
      <c r="AYW15" s="260"/>
      <c r="AYX15" s="260"/>
      <c r="AYY15" s="260"/>
      <c r="AYZ15" s="260"/>
      <c r="AZA15" s="260"/>
      <c r="AZB15" s="260"/>
      <c r="AZC15" s="260"/>
      <c r="AZD15" s="260"/>
      <c r="AZE15" s="260"/>
      <c r="AZF15" s="260"/>
      <c r="AZG15" s="260"/>
      <c r="AZH15" s="260"/>
      <c r="AZI15" s="260"/>
      <c r="AZJ15" s="260"/>
      <c r="AZK15" s="260"/>
      <c r="AZL15" s="260"/>
      <c r="AZM15" s="260"/>
      <c r="AZN15" s="260"/>
      <c r="AZO15" s="260"/>
      <c r="AZP15" s="260"/>
      <c r="AZQ15" s="260"/>
      <c r="AZR15" s="260"/>
      <c r="AZS15" s="260"/>
      <c r="AZT15" s="260"/>
      <c r="AZU15" s="260"/>
      <c r="AZV15" s="260"/>
      <c r="AZW15" s="260"/>
      <c r="AZX15" s="260"/>
      <c r="AZY15" s="260"/>
      <c r="AZZ15" s="260"/>
      <c r="BAA15" s="260"/>
      <c r="BAB15" s="260"/>
      <c r="BAC15" s="260"/>
      <c r="BAD15" s="260"/>
      <c r="BAE15" s="260"/>
      <c r="BAF15" s="260"/>
      <c r="BAG15" s="260"/>
      <c r="BAH15" s="260"/>
      <c r="BAI15" s="260"/>
      <c r="BAJ15" s="260"/>
      <c r="BAK15" s="260"/>
      <c r="BAL15" s="260"/>
      <c r="BAM15" s="260"/>
      <c r="BAN15" s="260"/>
      <c r="BAO15" s="260"/>
      <c r="BAP15" s="260"/>
      <c r="BAQ15" s="260"/>
      <c r="BAR15" s="260"/>
      <c r="BAS15" s="260"/>
      <c r="BAT15" s="260"/>
      <c r="BAU15" s="260"/>
      <c r="BAV15" s="260"/>
      <c r="BAW15" s="260"/>
      <c r="BAX15" s="260"/>
      <c r="BAY15" s="260"/>
      <c r="BAZ15" s="260"/>
      <c r="BBA15" s="260"/>
      <c r="BBB15" s="260"/>
      <c r="BBC15" s="260"/>
      <c r="BBD15" s="260"/>
      <c r="BBE15" s="260"/>
      <c r="BBF15" s="260"/>
      <c r="BBG15" s="260"/>
      <c r="BBH15" s="260"/>
      <c r="BBI15" s="260"/>
      <c r="BBJ15" s="260"/>
      <c r="BBK15" s="260"/>
      <c r="BBL15" s="260"/>
      <c r="BBM15" s="260"/>
      <c r="BBN15" s="260"/>
      <c r="BBO15" s="260"/>
      <c r="BBP15" s="260"/>
      <c r="BBQ15" s="260"/>
      <c r="BBR15" s="260"/>
      <c r="BBS15" s="260"/>
      <c r="BBT15" s="260"/>
      <c r="BBU15" s="260"/>
      <c r="BBV15" s="260"/>
      <c r="BBW15" s="260"/>
      <c r="BBX15" s="260"/>
      <c r="BBY15" s="260"/>
      <c r="BBZ15" s="260"/>
      <c r="BCA15" s="260"/>
      <c r="BCB15" s="260"/>
      <c r="BCC15" s="260"/>
      <c r="BCD15" s="260"/>
      <c r="BCE15" s="260"/>
      <c r="BCF15" s="260"/>
      <c r="BCG15" s="260"/>
      <c r="BCH15" s="260"/>
      <c r="BCI15" s="260"/>
      <c r="BCJ15" s="260"/>
      <c r="BCK15" s="260"/>
      <c r="BCL15" s="260"/>
      <c r="BCM15" s="260"/>
      <c r="BCN15" s="260"/>
      <c r="BCO15" s="260"/>
      <c r="BCP15" s="260"/>
      <c r="BCQ15" s="260"/>
      <c r="BCR15" s="260"/>
      <c r="BCS15" s="260"/>
      <c r="BCT15" s="260"/>
      <c r="BCU15" s="260"/>
      <c r="BCV15" s="260"/>
      <c r="BCW15" s="260"/>
      <c r="BCX15" s="260"/>
      <c r="BCY15" s="260"/>
      <c r="BCZ15" s="260"/>
      <c r="BDA15" s="260"/>
      <c r="BDB15" s="260"/>
      <c r="BDC15" s="260"/>
      <c r="BDD15" s="260"/>
      <c r="BDE15" s="260"/>
      <c r="BDF15" s="260"/>
      <c r="BDG15" s="260"/>
      <c r="BDH15" s="260"/>
      <c r="BDI15" s="260"/>
      <c r="BDJ15" s="260"/>
      <c r="BDK15" s="260"/>
      <c r="BDL15" s="260"/>
      <c r="BDM15" s="260"/>
      <c r="BDN15" s="260"/>
      <c r="BDO15" s="260"/>
      <c r="BDP15" s="260"/>
      <c r="BDQ15" s="260"/>
      <c r="BDR15" s="260"/>
      <c r="BDS15" s="260"/>
      <c r="BDT15" s="260"/>
      <c r="BDU15" s="260"/>
      <c r="BDV15" s="260"/>
      <c r="BDW15" s="260"/>
      <c r="BDX15" s="260"/>
      <c r="BDY15" s="260"/>
      <c r="BDZ15" s="260"/>
      <c r="BEA15" s="260"/>
      <c r="BEB15" s="260"/>
      <c r="BEC15" s="260"/>
      <c r="BED15" s="260"/>
      <c r="BEE15" s="260"/>
      <c r="BEF15" s="260"/>
      <c r="BEG15" s="260"/>
      <c r="BEH15" s="260"/>
      <c r="BEI15" s="260"/>
      <c r="BEJ15" s="260"/>
      <c r="BEK15" s="260"/>
      <c r="BEL15" s="260"/>
      <c r="BEM15" s="260"/>
      <c r="BEN15" s="260"/>
      <c r="BEO15" s="260"/>
      <c r="BEP15" s="260"/>
      <c r="BEQ15" s="260"/>
      <c r="BER15" s="260"/>
      <c r="BES15" s="260"/>
      <c r="BET15" s="260"/>
      <c r="BEU15" s="260"/>
      <c r="BEV15" s="260"/>
      <c r="BEW15" s="260"/>
      <c r="BEX15" s="260"/>
      <c r="BEY15" s="260"/>
      <c r="BEZ15" s="260"/>
      <c r="BFA15" s="260"/>
      <c r="BFB15" s="260"/>
      <c r="BFC15" s="260"/>
      <c r="BFD15" s="260"/>
      <c r="BFE15" s="260"/>
      <c r="BFF15" s="260"/>
      <c r="BFG15" s="260"/>
      <c r="BFH15" s="260"/>
      <c r="BFI15" s="260"/>
      <c r="BFJ15" s="260"/>
      <c r="BFK15" s="260"/>
      <c r="BFL15" s="260"/>
      <c r="BFM15" s="260"/>
      <c r="BFN15" s="260"/>
      <c r="BFO15" s="260"/>
      <c r="BFP15" s="260"/>
      <c r="BFQ15" s="260"/>
      <c r="BFR15" s="260"/>
      <c r="BFS15" s="260"/>
      <c r="BFT15" s="260"/>
      <c r="BFU15" s="260"/>
      <c r="BFV15" s="260"/>
      <c r="BFW15" s="260"/>
      <c r="BFX15" s="260"/>
      <c r="BFY15" s="260"/>
      <c r="BFZ15" s="260"/>
      <c r="BGA15" s="260"/>
      <c r="BGB15" s="260"/>
      <c r="BGC15" s="260"/>
      <c r="BGD15" s="260"/>
      <c r="BGE15" s="260"/>
      <c r="BGF15" s="260"/>
      <c r="BGG15" s="260"/>
      <c r="BGH15" s="260"/>
      <c r="BGI15" s="260"/>
      <c r="BGJ15" s="260"/>
      <c r="BGK15" s="260"/>
      <c r="BGL15" s="260"/>
      <c r="BGM15" s="260"/>
      <c r="BGN15" s="260"/>
      <c r="BGO15" s="260"/>
      <c r="BGP15" s="260"/>
      <c r="BGQ15" s="260"/>
      <c r="BGR15" s="260"/>
      <c r="BGS15" s="260"/>
      <c r="BGT15" s="260"/>
      <c r="BGU15" s="260"/>
      <c r="BGV15" s="260"/>
      <c r="BGW15" s="260"/>
      <c r="BGX15" s="260"/>
      <c r="BGY15" s="260"/>
      <c r="BGZ15" s="260"/>
      <c r="BHA15" s="260"/>
      <c r="BHB15" s="260"/>
      <c r="BHC15" s="260"/>
      <c r="BHD15" s="260"/>
      <c r="BHE15" s="260"/>
      <c r="BHF15" s="260"/>
      <c r="BHG15" s="260"/>
      <c r="BHH15" s="260"/>
      <c r="BHI15" s="260"/>
      <c r="BHJ15" s="260"/>
      <c r="BHK15" s="260"/>
      <c r="BHL15" s="260"/>
      <c r="BHM15" s="260"/>
      <c r="BHN15" s="260"/>
      <c r="BHO15" s="260"/>
      <c r="BHP15" s="260"/>
      <c r="BHQ15" s="260"/>
      <c r="BHR15" s="260"/>
      <c r="BHS15" s="260"/>
      <c r="BHT15" s="260"/>
      <c r="BHU15" s="260"/>
      <c r="BHV15" s="260"/>
      <c r="BHW15" s="260"/>
      <c r="BHX15" s="260"/>
      <c r="BHY15" s="260"/>
      <c r="BHZ15" s="260"/>
      <c r="BIA15" s="260"/>
      <c r="BIB15" s="260"/>
      <c r="BIC15" s="260"/>
      <c r="BID15" s="260"/>
      <c r="BIE15" s="260"/>
      <c r="BIF15" s="260"/>
      <c r="BIG15" s="260"/>
      <c r="BIH15" s="260"/>
      <c r="BII15" s="260"/>
      <c r="BIJ15" s="260"/>
      <c r="BIK15" s="260"/>
      <c r="BIL15" s="260"/>
      <c r="BIM15" s="260"/>
      <c r="BIN15" s="260"/>
      <c r="BIO15" s="260"/>
      <c r="BIP15" s="260"/>
      <c r="BIQ15" s="260"/>
      <c r="BIR15" s="260"/>
      <c r="BIS15" s="260"/>
      <c r="BIT15" s="260"/>
      <c r="BIU15" s="260"/>
      <c r="BIV15" s="260"/>
      <c r="BIW15" s="260"/>
      <c r="BIX15" s="260"/>
      <c r="BIY15" s="260"/>
      <c r="BIZ15" s="260"/>
      <c r="BJA15" s="260"/>
      <c r="BJB15" s="260"/>
      <c r="BJC15" s="260"/>
      <c r="BJD15" s="260"/>
      <c r="BJE15" s="260"/>
      <c r="BJF15" s="260"/>
      <c r="BJG15" s="260"/>
      <c r="BJH15" s="260"/>
      <c r="BJI15" s="260"/>
      <c r="BJJ15" s="260"/>
      <c r="BJK15" s="260"/>
      <c r="BJL15" s="260"/>
      <c r="BJM15" s="260"/>
      <c r="BJN15" s="260"/>
      <c r="BJO15" s="260"/>
      <c r="BJP15" s="260"/>
      <c r="BJQ15" s="260"/>
      <c r="BJR15" s="260"/>
      <c r="BJS15" s="260"/>
      <c r="BJT15" s="260"/>
      <c r="BJU15" s="260"/>
      <c r="BJV15" s="260"/>
      <c r="BJW15" s="260"/>
      <c r="BJX15" s="260"/>
      <c r="BJY15" s="260"/>
      <c r="BJZ15" s="260"/>
      <c r="BKA15" s="260"/>
      <c r="BKB15" s="260"/>
      <c r="BKC15" s="260"/>
      <c r="BKD15" s="260"/>
      <c r="BKE15" s="260"/>
      <c r="BKF15" s="260"/>
      <c r="BKG15" s="260"/>
      <c r="BKH15" s="260"/>
      <c r="BKI15" s="260"/>
      <c r="BKJ15" s="260"/>
      <c r="BKK15" s="260"/>
      <c r="BKL15" s="260"/>
      <c r="BKM15" s="260"/>
      <c r="BKN15" s="260"/>
      <c r="BKO15" s="260"/>
      <c r="BKP15" s="260"/>
      <c r="BKQ15" s="260"/>
      <c r="BKR15" s="260"/>
      <c r="BKS15" s="260"/>
      <c r="BKT15" s="260"/>
      <c r="BKU15" s="260"/>
      <c r="BKV15" s="260"/>
      <c r="BKW15" s="260"/>
      <c r="BKX15" s="260"/>
      <c r="BKY15" s="260"/>
      <c r="BKZ15" s="260"/>
      <c r="BLA15" s="260"/>
      <c r="BLB15" s="260"/>
      <c r="BLC15" s="260"/>
      <c r="BLD15" s="260"/>
      <c r="BLE15" s="260"/>
      <c r="BLF15" s="260"/>
      <c r="BLG15" s="260"/>
      <c r="BLH15" s="260"/>
      <c r="BLI15" s="260"/>
      <c r="BLJ15" s="260"/>
      <c r="BLK15" s="260"/>
      <c r="BLL15" s="260"/>
      <c r="BLM15" s="260"/>
      <c r="BLN15" s="260"/>
      <c r="BLO15" s="260"/>
      <c r="BLP15" s="260"/>
      <c r="BLQ15" s="260"/>
      <c r="BLR15" s="260"/>
      <c r="BLS15" s="260"/>
      <c r="BLT15" s="260"/>
      <c r="BLU15" s="260"/>
      <c r="BLV15" s="260"/>
      <c r="BLW15" s="260"/>
      <c r="BLX15" s="260"/>
      <c r="BLY15" s="260"/>
      <c r="BLZ15" s="260"/>
      <c r="BMA15" s="260"/>
      <c r="BMB15" s="260"/>
      <c r="BMC15" s="260"/>
      <c r="BMD15" s="260"/>
      <c r="BME15" s="260"/>
      <c r="BMF15" s="260"/>
      <c r="BMG15" s="260"/>
      <c r="BMH15" s="260"/>
      <c r="BMI15" s="260"/>
      <c r="BMJ15" s="260"/>
      <c r="BMK15" s="260"/>
      <c r="BML15" s="260"/>
      <c r="BMM15" s="260"/>
      <c r="BMN15" s="260"/>
      <c r="BMO15" s="260"/>
      <c r="BMP15" s="260"/>
      <c r="BMQ15" s="260"/>
      <c r="BMR15" s="260"/>
      <c r="BMS15" s="260"/>
      <c r="BMT15" s="260"/>
      <c r="BMU15" s="260"/>
      <c r="BMV15" s="260"/>
      <c r="BMW15" s="260"/>
      <c r="BMX15" s="260"/>
      <c r="BMY15" s="260"/>
      <c r="BMZ15" s="260"/>
      <c r="BNA15" s="260"/>
      <c r="BNB15" s="260"/>
      <c r="BNC15" s="260"/>
      <c r="BND15" s="260"/>
      <c r="BNE15" s="260"/>
      <c r="BNF15" s="260"/>
      <c r="BNG15" s="260"/>
      <c r="BNH15" s="260"/>
      <c r="BNI15" s="260"/>
      <c r="BNJ15" s="260"/>
      <c r="BNK15" s="260"/>
      <c r="BNL15" s="260"/>
      <c r="BNM15" s="260"/>
      <c r="BNN15" s="260"/>
      <c r="BNO15" s="260"/>
      <c r="BNP15" s="260"/>
      <c r="BNQ15" s="260"/>
      <c r="BNR15" s="260"/>
      <c r="BNS15" s="260"/>
      <c r="BNT15" s="260"/>
      <c r="BNU15" s="260"/>
      <c r="BNV15" s="260"/>
      <c r="BNW15" s="260"/>
      <c r="BNX15" s="260"/>
      <c r="BNY15" s="260"/>
      <c r="BNZ15" s="260"/>
      <c r="BOA15" s="260"/>
      <c r="BOB15" s="260"/>
      <c r="BOC15" s="260"/>
      <c r="BOD15" s="260"/>
      <c r="BOE15" s="260"/>
      <c r="BOF15" s="260"/>
      <c r="BOG15" s="260"/>
      <c r="BOH15" s="260"/>
      <c r="BOI15" s="260"/>
      <c r="BOJ15" s="260"/>
      <c r="BOK15" s="260"/>
      <c r="BOL15" s="260"/>
      <c r="BOM15" s="260"/>
      <c r="BON15" s="260"/>
      <c r="BOO15" s="260"/>
      <c r="BOP15" s="260"/>
      <c r="BOQ15" s="260"/>
      <c r="BOR15" s="260"/>
      <c r="BOS15" s="260"/>
      <c r="BOT15" s="260"/>
      <c r="BOU15" s="260"/>
      <c r="BOV15" s="260"/>
      <c r="BOW15" s="260"/>
      <c r="BOX15" s="260"/>
      <c r="BOY15" s="260"/>
      <c r="BOZ15" s="260"/>
      <c r="BPA15" s="260"/>
      <c r="BPB15" s="260"/>
      <c r="BPC15" s="260"/>
      <c r="BPD15" s="260"/>
      <c r="BPE15" s="260"/>
      <c r="BPF15" s="260"/>
      <c r="BPG15" s="260"/>
      <c r="BPH15" s="260"/>
      <c r="BPI15" s="260"/>
      <c r="BPJ15" s="260"/>
      <c r="BPK15" s="260"/>
      <c r="BPL15" s="260"/>
      <c r="BPM15" s="260"/>
      <c r="BPN15" s="260"/>
      <c r="BPO15" s="260"/>
      <c r="BPP15" s="260"/>
      <c r="BPQ15" s="260"/>
      <c r="BPR15" s="260"/>
      <c r="BPS15" s="260"/>
      <c r="BPT15" s="260"/>
      <c r="BPU15" s="260"/>
      <c r="BPV15" s="260"/>
      <c r="BPW15" s="260"/>
      <c r="BPX15" s="260"/>
      <c r="BPY15" s="260"/>
      <c r="BPZ15" s="260"/>
      <c r="BQA15" s="260"/>
      <c r="BQB15" s="260"/>
      <c r="BQC15" s="260"/>
      <c r="BQD15" s="260"/>
      <c r="BQE15" s="260"/>
      <c r="BQF15" s="260"/>
      <c r="BQG15" s="260"/>
      <c r="BQH15" s="260"/>
      <c r="BQI15" s="260"/>
      <c r="BQJ15" s="260"/>
      <c r="BQK15" s="260"/>
      <c r="BQL15" s="260"/>
      <c r="BQM15" s="260"/>
      <c r="BQN15" s="260"/>
      <c r="BQO15" s="260"/>
      <c r="BQP15" s="260"/>
      <c r="BQQ15" s="260"/>
      <c r="BQR15" s="260"/>
      <c r="BQS15" s="260"/>
      <c r="BQT15" s="260"/>
      <c r="BQU15" s="260"/>
      <c r="BQV15" s="260"/>
      <c r="BQW15" s="260"/>
      <c r="BQX15" s="260"/>
      <c r="BQY15" s="260"/>
      <c r="BQZ15" s="260"/>
      <c r="BRA15" s="260"/>
      <c r="BRB15" s="260"/>
      <c r="BRC15" s="260"/>
      <c r="BRD15" s="260"/>
      <c r="BRE15" s="260"/>
      <c r="BRF15" s="260"/>
      <c r="BRG15" s="260"/>
      <c r="BRH15" s="260"/>
      <c r="BRI15" s="260"/>
      <c r="BRJ15" s="260"/>
      <c r="BRK15" s="260"/>
      <c r="BRL15" s="260"/>
      <c r="BRM15" s="260"/>
      <c r="BRN15" s="260"/>
      <c r="BRO15" s="260"/>
      <c r="BRP15" s="260"/>
      <c r="BRQ15" s="260"/>
      <c r="BRR15" s="260"/>
      <c r="BRS15" s="260"/>
      <c r="BRT15" s="260"/>
      <c r="BRU15" s="260"/>
      <c r="BRV15" s="260"/>
      <c r="BRW15" s="260"/>
      <c r="BRX15" s="260"/>
      <c r="BRY15" s="260"/>
      <c r="BRZ15" s="260"/>
      <c r="BSA15" s="260"/>
      <c r="BSB15" s="260"/>
      <c r="BSC15" s="260"/>
      <c r="BSD15" s="260"/>
      <c r="BSE15" s="260"/>
      <c r="BSF15" s="260"/>
      <c r="BSG15" s="260"/>
      <c r="BSH15" s="260"/>
      <c r="BSI15" s="260"/>
      <c r="BSJ15" s="260"/>
      <c r="BSK15" s="260"/>
      <c r="BSL15" s="260"/>
      <c r="BSM15" s="260"/>
      <c r="BSN15" s="260"/>
      <c r="BSO15" s="260"/>
      <c r="BSP15" s="260"/>
      <c r="BSQ15" s="260"/>
      <c r="BSR15" s="260"/>
      <c r="BSS15" s="260"/>
      <c r="BST15" s="260"/>
      <c r="BSU15" s="260"/>
      <c r="BSV15" s="260"/>
      <c r="BSW15" s="260"/>
      <c r="BSX15" s="260"/>
      <c r="BSY15" s="260"/>
      <c r="BSZ15" s="260"/>
      <c r="BTA15" s="260"/>
      <c r="BTB15" s="260"/>
      <c r="BTC15" s="260"/>
      <c r="BTD15" s="260"/>
      <c r="BTE15" s="260"/>
      <c r="BTF15" s="260"/>
      <c r="BTG15" s="260"/>
      <c r="BTH15" s="260"/>
      <c r="BTI15" s="260"/>
      <c r="BTJ15" s="260"/>
      <c r="BTK15" s="260"/>
      <c r="BTL15" s="260"/>
      <c r="BTM15" s="260"/>
      <c r="BTN15" s="260"/>
      <c r="BTO15" s="260"/>
      <c r="BTP15" s="260"/>
      <c r="BTQ15" s="260"/>
      <c r="BTR15" s="260"/>
      <c r="BTS15" s="260"/>
      <c r="BTT15" s="260"/>
      <c r="BTU15" s="260"/>
      <c r="BTV15" s="260"/>
      <c r="BTW15" s="260"/>
      <c r="BTX15" s="260"/>
      <c r="BTY15" s="260"/>
      <c r="BTZ15" s="260"/>
      <c r="BUA15" s="260"/>
      <c r="BUB15" s="260"/>
      <c r="BUC15" s="260"/>
      <c r="BUD15" s="260"/>
      <c r="BUE15" s="260"/>
      <c r="BUF15" s="260"/>
      <c r="BUG15" s="260"/>
      <c r="BUH15" s="260"/>
      <c r="BUI15" s="260"/>
      <c r="BUJ15" s="260"/>
      <c r="BUK15" s="260"/>
      <c r="BUL15" s="260"/>
      <c r="BUM15" s="260"/>
      <c r="BUN15" s="260"/>
      <c r="BUO15" s="260"/>
      <c r="BUP15" s="260"/>
      <c r="BUQ15" s="260"/>
      <c r="BUR15" s="260"/>
      <c r="BUS15" s="260"/>
      <c r="BUT15" s="260"/>
      <c r="BUU15" s="260"/>
      <c r="BUV15" s="260"/>
      <c r="BUW15" s="260"/>
      <c r="BUX15" s="260"/>
      <c r="BUY15" s="260"/>
      <c r="BUZ15" s="260"/>
      <c r="BVA15" s="260"/>
      <c r="BVB15" s="260"/>
      <c r="BVC15" s="260"/>
      <c r="BVD15" s="260"/>
      <c r="BVE15" s="260"/>
      <c r="BVF15" s="260"/>
      <c r="BVG15" s="260"/>
      <c r="BVH15" s="260"/>
      <c r="BVI15" s="260"/>
      <c r="BVJ15" s="260"/>
      <c r="BVK15" s="260"/>
      <c r="BVL15" s="260"/>
      <c r="BVM15" s="260"/>
      <c r="BVN15" s="260"/>
      <c r="BVO15" s="260"/>
      <c r="BVP15" s="260"/>
      <c r="BVQ15" s="260"/>
      <c r="BVR15" s="260"/>
      <c r="BVS15" s="260"/>
      <c r="BVT15" s="260"/>
      <c r="BVU15" s="260"/>
      <c r="BVV15" s="260"/>
      <c r="BVW15" s="260"/>
      <c r="BVX15" s="260"/>
      <c r="BVY15" s="260"/>
      <c r="BVZ15" s="260"/>
      <c r="BWA15" s="260"/>
      <c r="BWB15" s="260"/>
      <c r="BWC15" s="260"/>
      <c r="BWD15" s="260"/>
      <c r="BWE15" s="260"/>
      <c r="BWF15" s="260"/>
      <c r="BWG15" s="260"/>
      <c r="BWH15" s="260"/>
      <c r="BWI15" s="260"/>
      <c r="BWJ15" s="260"/>
      <c r="BWK15" s="260"/>
      <c r="BWL15" s="260"/>
      <c r="BWM15" s="260"/>
      <c r="BWN15" s="260"/>
      <c r="BWO15" s="260"/>
      <c r="BWP15" s="260"/>
      <c r="BWQ15" s="260"/>
      <c r="BWR15" s="260"/>
      <c r="BWS15" s="260"/>
      <c r="BWT15" s="260"/>
      <c r="BWU15" s="260"/>
      <c r="BWV15" s="260"/>
      <c r="BWW15" s="260"/>
      <c r="BWX15" s="260"/>
      <c r="BWY15" s="260"/>
      <c r="BWZ15" s="260"/>
      <c r="BXA15" s="260"/>
      <c r="BXB15" s="260"/>
      <c r="BXC15" s="260"/>
      <c r="BXD15" s="260"/>
      <c r="BXE15" s="260"/>
      <c r="BXF15" s="260"/>
      <c r="BXG15" s="260"/>
      <c r="BXH15" s="260"/>
      <c r="BXI15" s="260"/>
      <c r="BXJ15" s="260"/>
      <c r="BXK15" s="260"/>
      <c r="BXL15" s="260"/>
      <c r="BXM15" s="260"/>
      <c r="BXN15" s="260"/>
      <c r="BXO15" s="260"/>
      <c r="BXP15" s="260"/>
      <c r="BXQ15" s="260"/>
      <c r="BXR15" s="260"/>
      <c r="BXS15" s="260"/>
      <c r="BXT15" s="260"/>
      <c r="BXU15" s="260"/>
      <c r="BXV15" s="260"/>
      <c r="BXW15" s="260"/>
      <c r="BXX15" s="260"/>
      <c r="BXY15" s="260"/>
      <c r="BXZ15" s="260"/>
      <c r="BYA15" s="260"/>
      <c r="BYB15" s="260"/>
      <c r="BYC15" s="260"/>
      <c r="BYD15" s="260"/>
      <c r="BYE15" s="260"/>
      <c r="BYF15" s="260"/>
      <c r="BYG15" s="260"/>
      <c r="BYH15" s="260"/>
      <c r="BYI15" s="260"/>
      <c r="BYJ15" s="260"/>
      <c r="BYK15" s="260"/>
      <c r="BYL15" s="260"/>
      <c r="BYM15" s="260"/>
      <c r="BYN15" s="260"/>
      <c r="BYO15" s="260"/>
      <c r="BYP15" s="260"/>
      <c r="BYQ15" s="260"/>
      <c r="BYR15" s="260"/>
      <c r="BYS15" s="260"/>
      <c r="BYT15" s="260"/>
      <c r="BYU15" s="260"/>
      <c r="BYV15" s="260"/>
      <c r="BYW15" s="260"/>
      <c r="BYX15" s="260"/>
      <c r="BYY15" s="260"/>
      <c r="BYZ15" s="260"/>
      <c r="BZA15" s="260"/>
      <c r="BZB15" s="260"/>
      <c r="BZC15" s="260"/>
      <c r="BZD15" s="260"/>
      <c r="BZE15" s="260"/>
      <c r="BZF15" s="260"/>
      <c r="BZG15" s="260"/>
      <c r="BZH15" s="260"/>
      <c r="BZI15" s="260"/>
      <c r="BZJ15" s="260"/>
      <c r="BZK15" s="260"/>
      <c r="BZL15" s="260"/>
      <c r="BZM15" s="260"/>
      <c r="BZN15" s="260"/>
      <c r="BZO15" s="260"/>
      <c r="BZP15" s="260"/>
      <c r="BZQ15" s="260"/>
      <c r="BZR15" s="260"/>
      <c r="BZS15" s="260"/>
      <c r="BZT15" s="260"/>
      <c r="BZU15" s="260"/>
      <c r="BZV15" s="260"/>
      <c r="BZW15" s="260"/>
      <c r="BZX15" s="260"/>
      <c r="BZY15" s="260"/>
      <c r="BZZ15" s="260"/>
      <c r="CAA15" s="260"/>
      <c r="CAB15" s="260"/>
      <c r="CAC15" s="260"/>
      <c r="CAD15" s="260"/>
      <c r="CAE15" s="260"/>
      <c r="CAF15" s="260"/>
      <c r="CAG15" s="260"/>
      <c r="CAH15" s="260"/>
      <c r="CAI15" s="260"/>
      <c r="CAJ15" s="260"/>
      <c r="CAK15" s="260"/>
      <c r="CAL15" s="260"/>
      <c r="CAM15" s="260"/>
      <c r="CAN15" s="260"/>
      <c r="CAO15" s="260"/>
      <c r="CAP15" s="260"/>
      <c r="CAQ15" s="260"/>
      <c r="CAR15" s="260"/>
      <c r="CAS15" s="260"/>
      <c r="CAT15" s="260"/>
      <c r="CAU15" s="260"/>
      <c r="CAV15" s="260"/>
      <c r="CAW15" s="260"/>
      <c r="CAX15" s="260"/>
      <c r="CAY15" s="260"/>
      <c r="CAZ15" s="260"/>
      <c r="CBA15" s="260"/>
      <c r="CBB15" s="260"/>
      <c r="CBC15" s="260"/>
      <c r="CBD15" s="260"/>
      <c r="CBE15" s="260"/>
      <c r="CBF15" s="260"/>
      <c r="CBG15" s="260"/>
      <c r="CBH15" s="260"/>
      <c r="CBI15" s="260"/>
      <c r="CBJ15" s="260"/>
      <c r="CBK15" s="260"/>
      <c r="CBL15" s="260"/>
      <c r="CBM15" s="260"/>
      <c r="CBN15" s="260"/>
      <c r="CBO15" s="260"/>
      <c r="CBP15" s="260"/>
      <c r="CBQ15" s="260"/>
      <c r="CBR15" s="260"/>
      <c r="CBS15" s="260"/>
      <c r="CBT15" s="260"/>
      <c r="CBU15" s="260"/>
      <c r="CBV15" s="260"/>
      <c r="CBW15" s="260"/>
      <c r="CBX15" s="260"/>
      <c r="CBY15" s="260"/>
      <c r="CBZ15" s="260"/>
      <c r="CCA15" s="260"/>
      <c r="CCB15" s="260"/>
      <c r="CCC15" s="260"/>
      <c r="CCD15" s="260"/>
      <c r="CCE15" s="260"/>
      <c r="CCF15" s="260"/>
      <c r="CCG15" s="260"/>
      <c r="CCH15" s="260"/>
      <c r="CCI15" s="260"/>
      <c r="CCJ15" s="260"/>
      <c r="CCK15" s="260"/>
      <c r="CCL15" s="260"/>
      <c r="CCM15" s="260"/>
      <c r="CCN15" s="260"/>
      <c r="CCO15" s="260"/>
      <c r="CCP15" s="260"/>
      <c r="CCQ15" s="260"/>
      <c r="CCR15" s="260"/>
      <c r="CCS15" s="260"/>
      <c r="CCT15" s="260"/>
      <c r="CCU15" s="260"/>
      <c r="CCV15" s="260"/>
      <c r="CCW15" s="260"/>
      <c r="CCX15" s="260"/>
      <c r="CCY15" s="260"/>
      <c r="CCZ15" s="260"/>
      <c r="CDA15" s="260"/>
      <c r="CDB15" s="260"/>
      <c r="CDC15" s="260"/>
      <c r="CDD15" s="260"/>
      <c r="CDE15" s="260"/>
      <c r="CDF15" s="260"/>
      <c r="CDG15" s="260"/>
      <c r="CDH15" s="260"/>
      <c r="CDI15" s="260"/>
      <c r="CDJ15" s="260"/>
      <c r="CDK15" s="260"/>
      <c r="CDL15" s="260"/>
      <c r="CDM15" s="260"/>
      <c r="CDN15" s="260"/>
      <c r="CDO15" s="260"/>
      <c r="CDP15" s="260"/>
      <c r="CDQ15" s="260"/>
      <c r="CDR15" s="260"/>
      <c r="CDS15" s="260"/>
      <c r="CDT15" s="260"/>
      <c r="CDU15" s="260"/>
      <c r="CDV15" s="260"/>
      <c r="CDW15" s="260"/>
      <c r="CDX15" s="260"/>
      <c r="CDY15" s="260"/>
      <c r="CDZ15" s="260"/>
      <c r="CEA15" s="260"/>
      <c r="CEB15" s="260"/>
      <c r="CEC15" s="260"/>
      <c r="CED15" s="260"/>
      <c r="CEE15" s="260"/>
      <c r="CEF15" s="260"/>
      <c r="CEG15" s="260"/>
      <c r="CEH15" s="260"/>
      <c r="CEI15" s="260"/>
      <c r="CEJ15" s="260"/>
      <c r="CEK15" s="260"/>
      <c r="CEL15" s="260"/>
      <c r="CEM15" s="260"/>
      <c r="CEN15" s="260"/>
      <c r="CEO15" s="260"/>
      <c r="CEP15" s="260"/>
      <c r="CEQ15" s="260"/>
      <c r="CER15" s="260"/>
      <c r="CES15" s="260"/>
      <c r="CET15" s="260"/>
      <c r="CEU15" s="260"/>
      <c r="CEV15" s="260"/>
      <c r="CEW15" s="260"/>
      <c r="CEX15" s="260"/>
      <c r="CEY15" s="260"/>
      <c r="CEZ15" s="260"/>
      <c r="CFA15" s="260"/>
      <c r="CFB15" s="260"/>
      <c r="CFC15" s="260"/>
      <c r="CFD15" s="260"/>
      <c r="CFE15" s="260"/>
      <c r="CFF15" s="260"/>
      <c r="CFG15" s="260"/>
      <c r="CFH15" s="260"/>
      <c r="CFI15" s="260"/>
      <c r="CFJ15" s="260"/>
      <c r="CFK15" s="260"/>
      <c r="CFL15" s="260"/>
      <c r="CFM15" s="260"/>
      <c r="CFN15" s="260"/>
      <c r="CFO15" s="260"/>
      <c r="CFP15" s="260"/>
      <c r="CFQ15" s="260"/>
      <c r="CFR15" s="260"/>
      <c r="CFS15" s="260"/>
      <c r="CFT15" s="260"/>
      <c r="CFU15" s="260"/>
      <c r="CFV15" s="260"/>
      <c r="CFW15" s="260"/>
      <c r="CFX15" s="260"/>
      <c r="CFY15" s="260"/>
      <c r="CFZ15" s="260"/>
      <c r="CGA15" s="260"/>
      <c r="CGB15" s="260"/>
      <c r="CGC15" s="260"/>
      <c r="CGD15" s="260"/>
      <c r="CGE15" s="260"/>
      <c r="CGF15" s="260"/>
      <c r="CGG15" s="260"/>
      <c r="CGH15" s="260"/>
      <c r="CGI15" s="260"/>
      <c r="CGJ15" s="260"/>
      <c r="CGK15" s="260"/>
      <c r="CGL15" s="260"/>
      <c r="CGM15" s="260"/>
      <c r="CGN15" s="260"/>
      <c r="CGO15" s="260"/>
      <c r="CGP15" s="260"/>
      <c r="CGQ15" s="260"/>
      <c r="CGR15" s="260"/>
      <c r="CGS15" s="260"/>
      <c r="CGT15" s="260"/>
      <c r="CGU15" s="260"/>
      <c r="CGV15" s="260"/>
      <c r="CGW15" s="260"/>
      <c r="CGX15" s="260"/>
      <c r="CGY15" s="260"/>
      <c r="CGZ15" s="260"/>
      <c r="CHA15" s="260"/>
      <c r="CHB15" s="260"/>
      <c r="CHC15" s="260"/>
      <c r="CHD15" s="260"/>
      <c r="CHE15" s="260"/>
      <c r="CHF15" s="260"/>
      <c r="CHG15" s="260"/>
      <c r="CHH15" s="260"/>
      <c r="CHI15" s="260"/>
      <c r="CHJ15" s="260"/>
      <c r="CHK15" s="260"/>
      <c r="CHL15" s="260"/>
      <c r="CHM15" s="260"/>
      <c r="CHN15" s="260"/>
      <c r="CHO15" s="260"/>
      <c r="CHP15" s="260"/>
      <c r="CHQ15" s="260"/>
      <c r="CHR15" s="260"/>
      <c r="CHS15" s="260"/>
      <c r="CHT15" s="260"/>
      <c r="CHU15" s="260"/>
      <c r="CHV15" s="260"/>
      <c r="CHW15" s="260"/>
      <c r="CHX15" s="260"/>
      <c r="CHY15" s="260"/>
      <c r="CHZ15" s="260"/>
      <c r="CIA15" s="260"/>
      <c r="CIB15" s="260"/>
      <c r="CIC15" s="260"/>
      <c r="CID15" s="260"/>
      <c r="CIE15" s="260"/>
      <c r="CIF15" s="260"/>
      <c r="CIG15" s="260"/>
      <c r="CIH15" s="260"/>
      <c r="CII15" s="260"/>
      <c r="CIJ15" s="260"/>
      <c r="CIK15" s="260"/>
      <c r="CIL15" s="260"/>
      <c r="CIM15" s="260"/>
      <c r="CIN15" s="260"/>
      <c r="CIO15" s="260"/>
      <c r="CIP15" s="260"/>
      <c r="CIQ15" s="260"/>
      <c r="CIR15" s="260"/>
      <c r="CIS15" s="260"/>
      <c r="CIT15" s="260"/>
      <c r="CIU15" s="260"/>
      <c r="CIV15" s="260"/>
      <c r="CIW15" s="260"/>
      <c r="CIX15" s="260"/>
      <c r="CIY15" s="260"/>
      <c r="CIZ15" s="260"/>
      <c r="CJA15" s="260"/>
      <c r="CJB15" s="260"/>
      <c r="CJC15" s="260"/>
      <c r="CJD15" s="260"/>
      <c r="CJE15" s="260"/>
      <c r="CJF15" s="260"/>
      <c r="CJG15" s="260"/>
      <c r="CJH15" s="260"/>
      <c r="CJI15" s="260"/>
      <c r="CJJ15" s="260"/>
      <c r="CJK15" s="260"/>
      <c r="CJL15" s="260"/>
      <c r="CJM15" s="260"/>
      <c r="CJN15" s="260"/>
      <c r="CJO15" s="260"/>
      <c r="CJP15" s="260"/>
      <c r="CJQ15" s="260"/>
      <c r="CJR15" s="260"/>
      <c r="CJS15" s="260"/>
      <c r="CJT15" s="260"/>
      <c r="CJU15" s="260"/>
      <c r="CJV15" s="260"/>
      <c r="CJW15" s="260"/>
      <c r="CJX15" s="260"/>
      <c r="CJY15" s="260"/>
      <c r="CJZ15" s="260"/>
      <c r="CKA15" s="260"/>
      <c r="CKB15" s="260"/>
      <c r="CKC15" s="260"/>
      <c r="CKD15" s="260"/>
      <c r="CKE15" s="260"/>
      <c r="CKF15" s="260"/>
      <c r="CKG15" s="260"/>
      <c r="CKH15" s="260"/>
      <c r="CKI15" s="260"/>
      <c r="CKJ15" s="260"/>
      <c r="CKK15" s="260"/>
      <c r="CKL15" s="260"/>
      <c r="CKM15" s="260"/>
      <c r="CKN15" s="260"/>
      <c r="CKO15" s="260"/>
      <c r="CKP15" s="260"/>
      <c r="CKQ15" s="260"/>
      <c r="CKR15" s="260"/>
      <c r="CKS15" s="260"/>
      <c r="CKT15" s="260"/>
      <c r="CKU15" s="260"/>
      <c r="CKV15" s="260"/>
      <c r="CKW15" s="260"/>
      <c r="CKX15" s="260"/>
      <c r="CKY15" s="260"/>
      <c r="CKZ15" s="260"/>
      <c r="CLA15" s="260"/>
      <c r="CLB15" s="260"/>
      <c r="CLC15" s="260"/>
      <c r="CLD15" s="260"/>
      <c r="CLE15" s="260"/>
      <c r="CLF15" s="260"/>
      <c r="CLG15" s="260"/>
      <c r="CLH15" s="260"/>
      <c r="CLI15" s="260"/>
      <c r="CLJ15" s="260"/>
      <c r="CLK15" s="260"/>
      <c r="CLL15" s="260"/>
      <c r="CLM15" s="260"/>
      <c r="CLN15" s="260"/>
      <c r="CLO15" s="260"/>
      <c r="CLP15" s="260"/>
      <c r="CLQ15" s="260"/>
      <c r="CLR15" s="260"/>
      <c r="CLS15" s="260"/>
      <c r="CLT15" s="260"/>
      <c r="CLU15" s="260"/>
      <c r="CLV15" s="260"/>
      <c r="CLW15" s="260"/>
      <c r="CLX15" s="260"/>
      <c r="CLY15" s="260"/>
      <c r="CLZ15" s="260"/>
      <c r="CMA15" s="260"/>
      <c r="CMB15" s="260"/>
      <c r="CMC15" s="260"/>
      <c r="CMD15" s="260"/>
      <c r="CME15" s="260"/>
      <c r="CMF15" s="260"/>
      <c r="CMG15" s="260"/>
      <c r="CMH15" s="260"/>
      <c r="CMI15" s="260"/>
      <c r="CMJ15" s="260"/>
      <c r="CMK15" s="260"/>
      <c r="CML15" s="260"/>
      <c r="CMM15" s="260"/>
      <c r="CMN15" s="260"/>
      <c r="CMO15" s="260"/>
      <c r="CMP15" s="260"/>
      <c r="CMQ15" s="260"/>
      <c r="CMR15" s="260"/>
      <c r="CMS15" s="260"/>
      <c r="CMT15" s="260"/>
      <c r="CMU15" s="260"/>
      <c r="CMV15" s="260"/>
      <c r="CMW15" s="260"/>
      <c r="CMX15" s="260"/>
      <c r="CMY15" s="260"/>
      <c r="CMZ15" s="260"/>
      <c r="CNA15" s="260"/>
      <c r="CNB15" s="260"/>
      <c r="CNC15" s="260"/>
      <c r="CND15" s="260"/>
      <c r="CNE15" s="260"/>
      <c r="CNF15" s="260"/>
      <c r="CNG15" s="260"/>
      <c r="CNH15" s="260"/>
      <c r="CNI15" s="260"/>
      <c r="CNJ15" s="260"/>
      <c r="CNK15" s="260"/>
      <c r="CNL15" s="260"/>
      <c r="CNM15" s="260"/>
      <c r="CNN15" s="260"/>
      <c r="CNO15" s="260"/>
      <c r="CNP15" s="260"/>
      <c r="CNQ15" s="260"/>
      <c r="CNR15" s="260"/>
      <c r="CNS15" s="260"/>
      <c r="CNT15" s="260"/>
      <c r="CNU15" s="260"/>
      <c r="CNV15" s="260"/>
      <c r="CNW15" s="260"/>
      <c r="CNX15" s="260"/>
      <c r="CNY15" s="260"/>
      <c r="CNZ15" s="260"/>
      <c r="COA15" s="260"/>
      <c r="COB15" s="260"/>
      <c r="COC15" s="260"/>
      <c r="COD15" s="260"/>
      <c r="COE15" s="260"/>
      <c r="COF15" s="260"/>
      <c r="COG15" s="260"/>
      <c r="COH15" s="260"/>
      <c r="COI15" s="260"/>
      <c r="COJ15" s="260"/>
      <c r="COK15" s="260"/>
      <c r="COL15" s="260"/>
      <c r="COM15" s="260"/>
      <c r="CON15" s="260"/>
      <c r="COO15" s="260"/>
      <c r="COP15" s="260"/>
      <c r="COQ15" s="260"/>
      <c r="COR15" s="260"/>
      <c r="COS15" s="260"/>
      <c r="COT15" s="260"/>
      <c r="COU15" s="260"/>
      <c r="COV15" s="260"/>
      <c r="COW15" s="260"/>
      <c r="COX15" s="260"/>
      <c r="COY15" s="260"/>
      <c r="COZ15" s="260"/>
      <c r="CPA15" s="260"/>
      <c r="CPB15" s="260"/>
      <c r="CPC15" s="260"/>
      <c r="CPD15" s="260"/>
      <c r="CPE15" s="260"/>
      <c r="CPF15" s="260"/>
      <c r="CPG15" s="260"/>
      <c r="CPH15" s="260"/>
      <c r="CPI15" s="260"/>
      <c r="CPJ15" s="260"/>
      <c r="CPK15" s="260"/>
      <c r="CPL15" s="260"/>
      <c r="CPM15" s="260"/>
      <c r="CPN15" s="260"/>
      <c r="CPO15" s="260"/>
      <c r="CPP15" s="260"/>
      <c r="CPQ15" s="260"/>
      <c r="CPR15" s="260"/>
      <c r="CPS15" s="260"/>
      <c r="CPT15" s="260"/>
      <c r="CPU15" s="260"/>
      <c r="CPV15" s="260"/>
      <c r="CPW15" s="260"/>
      <c r="CPX15" s="260"/>
      <c r="CPY15" s="260"/>
      <c r="CPZ15" s="260"/>
      <c r="CQA15" s="260"/>
      <c r="CQB15" s="260"/>
      <c r="CQC15" s="260"/>
      <c r="CQD15" s="260"/>
      <c r="CQE15" s="260"/>
      <c r="CQF15" s="260"/>
      <c r="CQG15" s="260"/>
      <c r="CQH15" s="260"/>
      <c r="CQI15" s="260"/>
      <c r="CQJ15" s="260"/>
      <c r="CQK15" s="260"/>
      <c r="CQL15" s="260"/>
      <c r="CQM15" s="260"/>
      <c r="CQN15" s="260"/>
      <c r="CQO15" s="260"/>
      <c r="CQP15" s="260"/>
      <c r="CQQ15" s="260"/>
      <c r="CQR15" s="260"/>
      <c r="CQS15" s="260"/>
      <c r="CQT15" s="260"/>
      <c r="CQU15" s="260"/>
      <c r="CQV15" s="260"/>
      <c r="CQW15" s="260"/>
      <c r="CQX15" s="260"/>
      <c r="CQY15" s="260"/>
      <c r="CQZ15" s="260"/>
      <c r="CRA15" s="260"/>
      <c r="CRB15" s="260"/>
      <c r="CRC15" s="260"/>
      <c r="CRD15" s="260"/>
      <c r="CRE15" s="260"/>
      <c r="CRF15" s="260"/>
      <c r="CRG15" s="260"/>
      <c r="CRH15" s="260"/>
      <c r="CRI15" s="260"/>
      <c r="CRJ15" s="260"/>
      <c r="CRK15" s="260"/>
      <c r="CRL15" s="260"/>
      <c r="CRM15" s="260"/>
      <c r="CRN15" s="260"/>
      <c r="CRO15" s="260"/>
      <c r="CRP15" s="260"/>
      <c r="CRQ15" s="260"/>
      <c r="CRR15" s="260"/>
      <c r="CRS15" s="260"/>
      <c r="CRT15" s="260"/>
      <c r="CRU15" s="260"/>
      <c r="CRV15" s="260"/>
      <c r="CRW15" s="260"/>
      <c r="CRX15" s="260"/>
      <c r="CRY15" s="260"/>
      <c r="CRZ15" s="260"/>
      <c r="CSA15" s="260"/>
      <c r="CSB15" s="260"/>
      <c r="CSC15" s="260"/>
      <c r="CSD15" s="260"/>
      <c r="CSE15" s="260"/>
      <c r="CSF15" s="260"/>
      <c r="CSG15" s="260"/>
      <c r="CSH15" s="260"/>
      <c r="CSI15" s="260"/>
      <c r="CSJ15" s="260"/>
      <c r="CSK15" s="260"/>
      <c r="CSL15" s="260"/>
      <c r="CSM15" s="260"/>
      <c r="CSN15" s="260"/>
      <c r="CSO15" s="260"/>
      <c r="CSP15" s="260"/>
      <c r="CSQ15" s="260"/>
      <c r="CSR15" s="260"/>
      <c r="CSS15" s="260"/>
      <c r="CST15" s="260"/>
      <c r="CSU15" s="260"/>
      <c r="CSV15" s="260"/>
      <c r="CSW15" s="260"/>
      <c r="CSX15" s="260"/>
      <c r="CSY15" s="260"/>
      <c r="CSZ15" s="260"/>
      <c r="CTA15" s="260"/>
      <c r="CTB15" s="260"/>
      <c r="CTC15" s="260"/>
      <c r="CTD15" s="260"/>
      <c r="CTE15" s="260"/>
      <c r="CTF15" s="260"/>
      <c r="CTG15" s="260"/>
      <c r="CTH15" s="260"/>
      <c r="CTI15" s="260"/>
      <c r="CTJ15" s="260"/>
      <c r="CTK15" s="260"/>
      <c r="CTL15" s="260"/>
      <c r="CTM15" s="260"/>
      <c r="CTN15" s="260"/>
      <c r="CTO15" s="260"/>
      <c r="CTP15" s="260"/>
      <c r="CTQ15" s="260"/>
      <c r="CTR15" s="260"/>
      <c r="CTS15" s="260"/>
      <c r="CTT15" s="260"/>
      <c r="CTU15" s="260"/>
      <c r="CTV15" s="260"/>
      <c r="CTW15" s="260"/>
      <c r="CTX15" s="260"/>
      <c r="CTY15" s="260"/>
      <c r="CTZ15" s="260"/>
      <c r="CUA15" s="260"/>
      <c r="CUB15" s="260"/>
      <c r="CUC15" s="260"/>
      <c r="CUD15" s="260"/>
      <c r="CUE15" s="260"/>
      <c r="CUF15" s="260"/>
      <c r="CUG15" s="260"/>
      <c r="CUH15" s="260"/>
      <c r="CUI15" s="260"/>
      <c r="CUJ15" s="260"/>
      <c r="CUK15" s="260"/>
      <c r="CUL15" s="260"/>
      <c r="CUM15" s="260"/>
      <c r="CUN15" s="260"/>
      <c r="CUO15" s="260"/>
      <c r="CUP15" s="260"/>
      <c r="CUQ15" s="260"/>
      <c r="CUR15" s="260"/>
      <c r="CUS15" s="260"/>
      <c r="CUT15" s="260"/>
      <c r="CUU15" s="260"/>
      <c r="CUV15" s="260"/>
      <c r="CUW15" s="260"/>
      <c r="CUX15" s="260"/>
      <c r="CUY15" s="260"/>
      <c r="CUZ15" s="260"/>
      <c r="CVA15" s="260"/>
      <c r="CVB15" s="260"/>
      <c r="CVC15" s="260"/>
      <c r="CVD15" s="260"/>
      <c r="CVE15" s="260"/>
      <c r="CVF15" s="260"/>
      <c r="CVG15" s="260"/>
      <c r="CVH15" s="260"/>
      <c r="CVI15" s="260"/>
      <c r="CVJ15" s="260"/>
      <c r="CVK15" s="260"/>
      <c r="CVL15" s="260"/>
      <c r="CVM15" s="260"/>
      <c r="CVN15" s="260"/>
      <c r="CVO15" s="260"/>
      <c r="CVP15" s="260"/>
      <c r="CVQ15" s="260"/>
      <c r="CVR15" s="260"/>
      <c r="CVS15" s="260"/>
      <c r="CVT15" s="260"/>
      <c r="CVU15" s="260"/>
      <c r="CVV15" s="260"/>
      <c r="CVW15" s="260"/>
      <c r="CVX15" s="260"/>
      <c r="CVY15" s="260"/>
      <c r="CVZ15" s="260"/>
      <c r="CWA15" s="260"/>
      <c r="CWB15" s="260"/>
      <c r="CWC15" s="260"/>
      <c r="CWD15" s="260"/>
      <c r="CWE15" s="260"/>
      <c r="CWF15" s="260"/>
      <c r="CWG15" s="260"/>
      <c r="CWH15" s="260"/>
      <c r="CWI15" s="260"/>
      <c r="CWJ15" s="260"/>
      <c r="CWK15" s="260"/>
      <c r="CWL15" s="260"/>
      <c r="CWM15" s="260"/>
      <c r="CWN15" s="260"/>
      <c r="CWO15" s="260"/>
      <c r="CWP15" s="260"/>
      <c r="CWQ15" s="260"/>
      <c r="CWR15" s="260"/>
      <c r="CWS15" s="260"/>
      <c r="CWT15" s="260"/>
      <c r="CWU15" s="260"/>
      <c r="CWV15" s="260"/>
      <c r="CWW15" s="260"/>
      <c r="CWX15" s="260"/>
      <c r="CWY15" s="260"/>
      <c r="CWZ15" s="260"/>
      <c r="CXA15" s="260"/>
      <c r="CXB15" s="260"/>
      <c r="CXC15" s="260"/>
      <c r="CXD15" s="260"/>
      <c r="CXE15" s="260"/>
      <c r="CXF15" s="260"/>
      <c r="CXG15" s="260"/>
      <c r="CXH15" s="260"/>
      <c r="CXI15" s="260"/>
      <c r="CXJ15" s="260"/>
      <c r="CXK15" s="260"/>
      <c r="CXL15" s="260"/>
      <c r="CXM15" s="260"/>
      <c r="CXN15" s="260"/>
      <c r="CXO15" s="260"/>
      <c r="CXP15" s="260"/>
      <c r="CXQ15" s="260"/>
      <c r="CXR15" s="260"/>
      <c r="CXS15" s="260"/>
      <c r="CXT15" s="260"/>
      <c r="CXU15" s="260"/>
      <c r="CXV15" s="260"/>
      <c r="CXW15" s="260"/>
      <c r="CXX15" s="260"/>
      <c r="CXY15" s="260"/>
      <c r="CXZ15" s="260"/>
      <c r="CYA15" s="260"/>
      <c r="CYB15" s="260"/>
      <c r="CYC15" s="260"/>
      <c r="CYD15" s="260"/>
      <c r="CYE15" s="260"/>
      <c r="CYF15" s="260"/>
      <c r="CYG15" s="260"/>
      <c r="CYH15" s="260"/>
      <c r="CYI15" s="260"/>
      <c r="CYJ15" s="260"/>
      <c r="CYK15" s="260"/>
      <c r="CYL15" s="260"/>
      <c r="CYM15" s="260"/>
      <c r="CYN15" s="260"/>
      <c r="CYO15" s="260"/>
      <c r="CYP15" s="260"/>
      <c r="CYQ15" s="260"/>
      <c r="CYR15" s="260"/>
      <c r="CYS15" s="260"/>
      <c r="CYT15" s="260"/>
      <c r="CYU15" s="260"/>
      <c r="CYV15" s="260"/>
      <c r="CYW15" s="260"/>
      <c r="CYX15" s="260"/>
      <c r="CYY15" s="260"/>
      <c r="CYZ15" s="260"/>
      <c r="CZA15" s="260"/>
      <c r="CZB15" s="260"/>
      <c r="CZC15" s="260"/>
      <c r="CZD15" s="260"/>
      <c r="CZE15" s="260"/>
      <c r="CZF15" s="260"/>
      <c r="CZG15" s="260"/>
      <c r="CZH15" s="260"/>
      <c r="CZI15" s="260"/>
      <c r="CZJ15" s="260"/>
      <c r="CZK15" s="260"/>
      <c r="CZL15" s="260"/>
      <c r="CZM15" s="260"/>
      <c r="CZN15" s="260"/>
      <c r="CZO15" s="260"/>
      <c r="CZP15" s="260"/>
      <c r="CZQ15" s="260"/>
      <c r="CZR15" s="260"/>
      <c r="CZS15" s="260"/>
      <c r="CZT15" s="260"/>
      <c r="CZU15" s="260"/>
      <c r="CZV15" s="260"/>
      <c r="CZW15" s="260"/>
      <c r="CZX15" s="260"/>
      <c r="CZY15" s="260"/>
      <c r="CZZ15" s="260"/>
      <c r="DAA15" s="260"/>
      <c r="DAB15" s="260"/>
      <c r="DAC15" s="260"/>
      <c r="DAD15" s="260"/>
      <c r="DAE15" s="260"/>
      <c r="DAF15" s="260"/>
      <c r="DAG15" s="260"/>
      <c r="DAH15" s="260"/>
      <c r="DAI15" s="260"/>
      <c r="DAJ15" s="260"/>
      <c r="DAK15" s="260"/>
      <c r="DAL15" s="260"/>
      <c r="DAM15" s="260"/>
      <c r="DAN15" s="260"/>
      <c r="DAO15" s="260"/>
      <c r="DAP15" s="260"/>
      <c r="DAQ15" s="260"/>
      <c r="DAR15" s="260"/>
      <c r="DAS15" s="260"/>
      <c r="DAT15" s="260"/>
      <c r="DAU15" s="260"/>
      <c r="DAV15" s="260"/>
      <c r="DAW15" s="260"/>
      <c r="DAX15" s="260"/>
      <c r="DAY15" s="260"/>
      <c r="DAZ15" s="260"/>
      <c r="DBA15" s="260"/>
      <c r="DBB15" s="260"/>
      <c r="DBC15" s="260"/>
      <c r="DBD15" s="260"/>
      <c r="DBE15" s="260"/>
      <c r="DBF15" s="260"/>
      <c r="DBG15" s="260"/>
      <c r="DBH15" s="260"/>
      <c r="DBI15" s="260"/>
      <c r="DBJ15" s="260"/>
      <c r="DBK15" s="260"/>
      <c r="DBL15" s="260"/>
      <c r="DBM15" s="260"/>
      <c r="DBN15" s="260"/>
      <c r="DBO15" s="260"/>
      <c r="DBP15" s="260"/>
      <c r="DBQ15" s="260"/>
      <c r="DBR15" s="260"/>
      <c r="DBS15" s="260"/>
      <c r="DBT15" s="260"/>
      <c r="DBU15" s="260"/>
      <c r="DBV15" s="260"/>
      <c r="DBW15" s="260"/>
      <c r="DBX15" s="260"/>
      <c r="DBY15" s="260"/>
      <c r="DBZ15" s="260"/>
      <c r="DCA15" s="260"/>
      <c r="DCB15" s="260"/>
      <c r="DCC15" s="260"/>
      <c r="DCD15" s="260"/>
      <c r="DCE15" s="260"/>
      <c r="DCF15" s="260"/>
      <c r="DCG15" s="260"/>
      <c r="DCH15" s="260"/>
      <c r="DCI15" s="260"/>
      <c r="DCJ15" s="260"/>
      <c r="DCK15" s="260"/>
      <c r="DCL15" s="260"/>
      <c r="DCM15" s="260"/>
      <c r="DCN15" s="260"/>
      <c r="DCO15" s="260"/>
      <c r="DCP15" s="260"/>
      <c r="DCQ15" s="260"/>
      <c r="DCR15" s="260"/>
      <c r="DCS15" s="260"/>
      <c r="DCT15" s="260"/>
      <c r="DCU15" s="260"/>
      <c r="DCV15" s="260"/>
      <c r="DCW15" s="260"/>
      <c r="DCX15" s="260"/>
      <c r="DCY15" s="260"/>
      <c r="DCZ15" s="260"/>
      <c r="DDA15" s="260"/>
      <c r="DDB15" s="260"/>
      <c r="DDC15" s="260"/>
      <c r="DDD15" s="260"/>
      <c r="DDE15" s="260"/>
      <c r="DDF15" s="260"/>
      <c r="DDG15" s="260"/>
      <c r="DDH15" s="260"/>
      <c r="DDI15" s="260"/>
      <c r="DDJ15" s="260"/>
      <c r="DDK15" s="260"/>
      <c r="DDL15" s="260"/>
      <c r="DDM15" s="260"/>
      <c r="DDN15" s="260"/>
      <c r="DDO15" s="260"/>
      <c r="DDP15" s="260"/>
      <c r="DDQ15" s="260"/>
      <c r="DDR15" s="260"/>
      <c r="DDS15" s="260"/>
      <c r="DDT15" s="260"/>
      <c r="DDU15" s="260"/>
      <c r="DDV15" s="260"/>
      <c r="DDW15" s="260"/>
      <c r="DDX15" s="260"/>
      <c r="DDY15" s="260"/>
      <c r="DDZ15" s="260"/>
      <c r="DEA15" s="260"/>
      <c r="DEB15" s="260"/>
      <c r="DEC15" s="260"/>
      <c r="DED15" s="260"/>
      <c r="DEE15" s="260"/>
      <c r="DEF15" s="260"/>
      <c r="DEG15" s="260"/>
      <c r="DEH15" s="260"/>
      <c r="DEI15" s="260"/>
      <c r="DEJ15" s="260"/>
      <c r="DEK15" s="260"/>
      <c r="DEL15" s="260"/>
      <c r="DEM15" s="260"/>
      <c r="DEN15" s="260"/>
      <c r="DEO15" s="260"/>
      <c r="DEP15" s="260"/>
      <c r="DEQ15" s="260"/>
      <c r="DER15" s="260"/>
      <c r="DES15" s="260"/>
      <c r="DET15" s="260"/>
      <c r="DEU15" s="260"/>
      <c r="DEV15" s="260"/>
      <c r="DEW15" s="260"/>
      <c r="DEX15" s="260"/>
      <c r="DEY15" s="260"/>
      <c r="DEZ15" s="260"/>
      <c r="DFA15" s="260"/>
      <c r="DFB15" s="260"/>
      <c r="DFC15" s="260"/>
      <c r="DFD15" s="260"/>
      <c r="DFE15" s="260"/>
      <c r="DFF15" s="260"/>
      <c r="DFG15" s="260"/>
      <c r="DFH15" s="260"/>
      <c r="DFI15" s="260"/>
      <c r="DFJ15" s="260"/>
      <c r="DFK15" s="260"/>
      <c r="DFL15" s="260"/>
      <c r="DFM15" s="260"/>
      <c r="DFN15" s="260"/>
      <c r="DFO15" s="260"/>
      <c r="DFP15" s="260"/>
      <c r="DFQ15" s="260"/>
      <c r="DFR15" s="260"/>
      <c r="DFS15" s="260"/>
      <c r="DFT15" s="260"/>
      <c r="DFU15" s="260"/>
      <c r="DFV15" s="260"/>
      <c r="DFW15" s="260"/>
      <c r="DFX15" s="260"/>
      <c r="DFY15" s="260"/>
      <c r="DFZ15" s="260"/>
      <c r="DGA15" s="260"/>
      <c r="DGB15" s="260"/>
      <c r="DGC15" s="260"/>
      <c r="DGD15" s="260"/>
      <c r="DGE15" s="260"/>
      <c r="DGF15" s="260"/>
      <c r="DGG15" s="260"/>
      <c r="DGH15" s="260"/>
      <c r="DGI15" s="260"/>
      <c r="DGJ15" s="260"/>
      <c r="DGK15" s="260"/>
      <c r="DGL15" s="260"/>
      <c r="DGM15" s="260"/>
      <c r="DGN15" s="260"/>
      <c r="DGO15" s="260"/>
      <c r="DGP15" s="260"/>
      <c r="DGQ15" s="260"/>
      <c r="DGR15" s="260"/>
      <c r="DGS15" s="260"/>
      <c r="DGT15" s="260"/>
      <c r="DGU15" s="260"/>
      <c r="DGV15" s="260"/>
      <c r="DGW15" s="260"/>
      <c r="DGX15" s="260"/>
      <c r="DGY15" s="260"/>
      <c r="DGZ15" s="260"/>
      <c r="DHA15" s="260"/>
      <c r="DHB15" s="260"/>
      <c r="DHC15" s="260"/>
      <c r="DHD15" s="260"/>
      <c r="DHE15" s="260"/>
      <c r="DHF15" s="260"/>
      <c r="DHG15" s="260"/>
      <c r="DHH15" s="260"/>
      <c r="DHI15" s="260"/>
      <c r="DHJ15" s="260"/>
      <c r="DHK15" s="260"/>
      <c r="DHL15" s="260"/>
      <c r="DHM15" s="260"/>
      <c r="DHN15" s="260"/>
      <c r="DHO15" s="260"/>
      <c r="DHP15" s="260"/>
      <c r="DHQ15" s="260"/>
      <c r="DHR15" s="260"/>
      <c r="DHS15" s="260"/>
      <c r="DHT15" s="260"/>
      <c r="DHU15" s="260"/>
      <c r="DHV15" s="260"/>
      <c r="DHW15" s="260"/>
      <c r="DHX15" s="260"/>
      <c r="DHY15" s="260"/>
      <c r="DHZ15" s="260"/>
      <c r="DIA15" s="260"/>
      <c r="DIB15" s="260"/>
      <c r="DIC15" s="260"/>
      <c r="DID15" s="260"/>
      <c r="DIE15" s="260"/>
      <c r="DIF15" s="260"/>
      <c r="DIG15" s="260"/>
      <c r="DIH15" s="260"/>
      <c r="DII15" s="260"/>
      <c r="DIJ15" s="260"/>
      <c r="DIK15" s="260"/>
      <c r="DIL15" s="260"/>
      <c r="DIM15" s="260"/>
      <c r="DIN15" s="260"/>
      <c r="DIO15" s="260"/>
      <c r="DIP15" s="260"/>
      <c r="DIQ15" s="260"/>
      <c r="DIR15" s="260"/>
      <c r="DIS15" s="260"/>
      <c r="DIT15" s="260"/>
      <c r="DIU15" s="260"/>
      <c r="DIV15" s="260"/>
      <c r="DIW15" s="260"/>
      <c r="DIX15" s="260"/>
      <c r="DIY15" s="260"/>
      <c r="DIZ15" s="260"/>
      <c r="DJA15" s="260"/>
      <c r="DJB15" s="260"/>
      <c r="DJC15" s="260"/>
      <c r="DJD15" s="260"/>
      <c r="DJE15" s="260"/>
      <c r="DJF15" s="260"/>
      <c r="DJG15" s="260"/>
      <c r="DJH15" s="260"/>
      <c r="DJI15" s="260"/>
      <c r="DJJ15" s="260"/>
      <c r="DJK15" s="260"/>
      <c r="DJL15" s="260"/>
      <c r="DJM15" s="260"/>
      <c r="DJN15" s="260"/>
      <c r="DJO15" s="260"/>
      <c r="DJP15" s="260"/>
      <c r="DJQ15" s="260"/>
      <c r="DJR15" s="260"/>
      <c r="DJS15" s="260"/>
      <c r="DJT15" s="260"/>
      <c r="DJU15" s="260"/>
      <c r="DJV15" s="260"/>
      <c r="DJW15" s="260"/>
      <c r="DJX15" s="260"/>
      <c r="DJY15" s="260"/>
      <c r="DJZ15" s="260"/>
      <c r="DKA15" s="260"/>
      <c r="DKB15" s="260"/>
      <c r="DKC15" s="260"/>
      <c r="DKD15" s="260"/>
      <c r="DKE15" s="260"/>
      <c r="DKF15" s="260"/>
      <c r="DKG15" s="260"/>
      <c r="DKH15" s="260"/>
      <c r="DKI15" s="260"/>
      <c r="DKJ15" s="260"/>
      <c r="DKK15" s="260"/>
      <c r="DKL15" s="260"/>
      <c r="DKM15" s="260"/>
      <c r="DKN15" s="260"/>
      <c r="DKO15" s="260"/>
      <c r="DKP15" s="260"/>
      <c r="DKQ15" s="260"/>
      <c r="DKR15" s="260"/>
      <c r="DKS15" s="260"/>
      <c r="DKT15" s="260"/>
      <c r="DKU15" s="260"/>
      <c r="DKV15" s="260"/>
      <c r="DKW15" s="260"/>
      <c r="DKX15" s="260"/>
      <c r="DKY15" s="260"/>
      <c r="DKZ15" s="260"/>
      <c r="DLA15" s="260"/>
      <c r="DLB15" s="260"/>
      <c r="DLC15" s="260"/>
      <c r="DLD15" s="260"/>
      <c r="DLE15" s="260"/>
      <c r="DLF15" s="260"/>
      <c r="DLG15" s="260"/>
      <c r="DLH15" s="260"/>
      <c r="DLI15" s="260"/>
      <c r="DLJ15" s="260"/>
      <c r="DLK15" s="260"/>
      <c r="DLL15" s="260"/>
      <c r="DLM15" s="260"/>
      <c r="DLN15" s="260"/>
      <c r="DLO15" s="260"/>
      <c r="DLP15" s="260"/>
      <c r="DLQ15" s="260"/>
      <c r="DLR15" s="260"/>
      <c r="DLS15" s="260"/>
      <c r="DLT15" s="260"/>
      <c r="DLU15" s="260"/>
      <c r="DLV15" s="260"/>
      <c r="DLW15" s="260"/>
      <c r="DLX15" s="260"/>
      <c r="DLY15" s="260"/>
      <c r="DLZ15" s="260"/>
      <c r="DMA15" s="260"/>
      <c r="DMB15" s="260"/>
      <c r="DMC15" s="260"/>
      <c r="DMD15" s="260"/>
      <c r="DME15" s="260"/>
      <c r="DMF15" s="260"/>
      <c r="DMG15" s="260"/>
      <c r="DMH15" s="260"/>
      <c r="DMI15" s="260"/>
      <c r="DMJ15" s="260"/>
      <c r="DMK15" s="260"/>
      <c r="DML15" s="260"/>
      <c r="DMM15" s="260"/>
      <c r="DMN15" s="260"/>
      <c r="DMO15" s="260"/>
      <c r="DMP15" s="260"/>
      <c r="DMQ15" s="260"/>
      <c r="DMR15" s="260"/>
      <c r="DMS15" s="260"/>
      <c r="DMT15" s="260"/>
      <c r="DMU15" s="260"/>
      <c r="DMV15" s="260"/>
      <c r="DMW15" s="260"/>
      <c r="DMX15" s="260"/>
      <c r="DMY15" s="260"/>
      <c r="DMZ15" s="260"/>
      <c r="DNA15" s="260"/>
      <c r="DNB15" s="260"/>
      <c r="DNC15" s="260"/>
      <c r="DND15" s="260"/>
      <c r="DNE15" s="260"/>
      <c r="DNF15" s="260"/>
      <c r="DNG15" s="260"/>
      <c r="DNH15" s="260"/>
      <c r="DNI15" s="260"/>
      <c r="DNJ15" s="260"/>
      <c r="DNK15" s="260"/>
      <c r="DNL15" s="260"/>
      <c r="DNM15" s="260"/>
      <c r="DNN15" s="260"/>
      <c r="DNO15" s="260"/>
      <c r="DNP15" s="260"/>
      <c r="DNQ15" s="260"/>
      <c r="DNR15" s="260"/>
      <c r="DNS15" s="260"/>
      <c r="DNT15" s="260"/>
      <c r="DNU15" s="260"/>
      <c r="DNV15" s="260"/>
      <c r="DNW15" s="260"/>
      <c r="DNX15" s="260"/>
      <c r="DNY15" s="260"/>
      <c r="DNZ15" s="260"/>
      <c r="DOA15" s="260"/>
      <c r="DOB15" s="260"/>
      <c r="DOC15" s="260"/>
      <c r="DOD15" s="260"/>
      <c r="DOE15" s="260"/>
      <c r="DOF15" s="260"/>
      <c r="DOG15" s="260"/>
      <c r="DOH15" s="260"/>
      <c r="DOI15" s="260"/>
      <c r="DOJ15" s="260"/>
      <c r="DOK15" s="260"/>
      <c r="DOL15" s="260"/>
      <c r="DOM15" s="260"/>
      <c r="DON15" s="260"/>
      <c r="DOO15" s="260"/>
      <c r="DOP15" s="260"/>
      <c r="DOQ15" s="260"/>
      <c r="DOR15" s="260"/>
      <c r="DOS15" s="260"/>
      <c r="DOT15" s="260"/>
      <c r="DOU15" s="260"/>
      <c r="DOV15" s="260"/>
      <c r="DOW15" s="260"/>
      <c r="DOX15" s="260"/>
      <c r="DOY15" s="260"/>
      <c r="DOZ15" s="260"/>
      <c r="DPA15" s="260"/>
      <c r="DPB15" s="260"/>
      <c r="DPC15" s="260"/>
      <c r="DPD15" s="260"/>
      <c r="DPE15" s="260"/>
      <c r="DPF15" s="260"/>
      <c r="DPG15" s="260"/>
      <c r="DPH15" s="260"/>
      <c r="DPI15" s="260"/>
      <c r="DPJ15" s="260"/>
      <c r="DPK15" s="260"/>
      <c r="DPL15" s="260"/>
      <c r="DPM15" s="260"/>
      <c r="DPN15" s="260"/>
      <c r="DPO15" s="260"/>
      <c r="DPP15" s="260"/>
      <c r="DPQ15" s="260"/>
      <c r="DPR15" s="260"/>
      <c r="DPS15" s="260"/>
      <c r="DPT15" s="260"/>
      <c r="DPU15" s="260"/>
      <c r="DPV15" s="260"/>
      <c r="DPW15" s="260"/>
      <c r="DPX15" s="260"/>
      <c r="DPY15" s="260"/>
      <c r="DPZ15" s="260"/>
      <c r="DQA15" s="260"/>
      <c r="DQB15" s="260"/>
      <c r="DQC15" s="260"/>
      <c r="DQD15" s="260"/>
      <c r="DQE15" s="260"/>
      <c r="DQF15" s="260"/>
      <c r="DQG15" s="260"/>
      <c r="DQH15" s="260"/>
      <c r="DQI15" s="260"/>
      <c r="DQJ15" s="260"/>
      <c r="DQK15" s="260"/>
      <c r="DQL15" s="260"/>
      <c r="DQM15" s="260"/>
      <c r="DQN15" s="260"/>
      <c r="DQO15" s="260"/>
      <c r="DQP15" s="260"/>
      <c r="DQQ15" s="260"/>
      <c r="DQR15" s="260"/>
      <c r="DQS15" s="260"/>
      <c r="DQT15" s="260"/>
      <c r="DQU15" s="260"/>
      <c r="DQV15" s="260"/>
      <c r="DQW15" s="260"/>
      <c r="DQX15" s="260"/>
      <c r="DQY15" s="260"/>
      <c r="DQZ15" s="260"/>
      <c r="DRA15" s="260"/>
      <c r="DRB15" s="260"/>
      <c r="DRC15" s="260"/>
      <c r="DRD15" s="260"/>
      <c r="DRE15" s="260"/>
      <c r="DRF15" s="260"/>
      <c r="DRG15" s="260"/>
      <c r="DRH15" s="260"/>
      <c r="DRI15" s="260"/>
      <c r="DRJ15" s="260"/>
      <c r="DRK15" s="260"/>
      <c r="DRL15" s="260"/>
      <c r="DRM15" s="260"/>
      <c r="DRN15" s="260"/>
      <c r="DRO15" s="260"/>
      <c r="DRP15" s="260"/>
      <c r="DRQ15" s="260"/>
      <c r="DRR15" s="260"/>
      <c r="DRS15" s="260"/>
      <c r="DRT15" s="260"/>
      <c r="DRU15" s="260"/>
      <c r="DRV15" s="260"/>
      <c r="DRW15" s="260"/>
      <c r="DRX15" s="260"/>
      <c r="DRY15" s="260"/>
      <c r="DRZ15" s="260"/>
      <c r="DSA15" s="260"/>
      <c r="DSB15" s="260"/>
      <c r="DSC15" s="260"/>
      <c r="DSD15" s="260"/>
      <c r="DSE15" s="260"/>
      <c r="DSF15" s="260"/>
      <c r="DSG15" s="260"/>
      <c r="DSH15" s="260"/>
      <c r="DSI15" s="260"/>
      <c r="DSJ15" s="260"/>
      <c r="DSK15" s="260"/>
      <c r="DSL15" s="260"/>
      <c r="DSM15" s="260"/>
      <c r="DSN15" s="260"/>
      <c r="DSO15" s="260"/>
      <c r="DSP15" s="260"/>
      <c r="DSQ15" s="260"/>
      <c r="DSR15" s="260"/>
      <c r="DSS15" s="260"/>
      <c r="DST15" s="260"/>
      <c r="DSU15" s="260"/>
      <c r="DSV15" s="260"/>
      <c r="DSW15" s="260"/>
      <c r="DSX15" s="260"/>
      <c r="DSY15" s="260"/>
      <c r="DSZ15" s="260"/>
      <c r="DTA15" s="260"/>
      <c r="DTB15" s="260"/>
      <c r="DTC15" s="260"/>
      <c r="DTD15" s="260"/>
      <c r="DTE15" s="260"/>
      <c r="DTF15" s="260"/>
      <c r="DTG15" s="260"/>
      <c r="DTH15" s="260"/>
      <c r="DTI15" s="260"/>
      <c r="DTJ15" s="260"/>
      <c r="DTK15" s="260"/>
      <c r="DTL15" s="260"/>
      <c r="DTM15" s="260"/>
      <c r="DTN15" s="260"/>
      <c r="DTO15" s="260"/>
      <c r="DTP15" s="260"/>
      <c r="DTQ15" s="260"/>
      <c r="DTR15" s="260"/>
      <c r="DTS15" s="260"/>
      <c r="DTT15" s="260"/>
      <c r="DTU15" s="260"/>
      <c r="DTV15" s="260"/>
      <c r="DTW15" s="260"/>
      <c r="DTX15" s="260"/>
      <c r="DTY15" s="260"/>
      <c r="DTZ15" s="260"/>
      <c r="DUA15" s="260"/>
      <c r="DUB15" s="260"/>
      <c r="DUC15" s="260"/>
      <c r="DUD15" s="260"/>
      <c r="DUE15" s="260"/>
      <c r="DUF15" s="260"/>
      <c r="DUG15" s="260"/>
      <c r="DUH15" s="260"/>
      <c r="DUI15" s="260"/>
      <c r="DUJ15" s="260"/>
      <c r="DUK15" s="260"/>
      <c r="DUL15" s="260"/>
      <c r="DUM15" s="260"/>
      <c r="DUN15" s="260"/>
      <c r="DUO15" s="260"/>
      <c r="DUP15" s="260"/>
      <c r="DUQ15" s="260"/>
      <c r="DUR15" s="260"/>
      <c r="DUS15" s="260"/>
      <c r="DUT15" s="260"/>
      <c r="DUU15" s="260"/>
      <c r="DUV15" s="260"/>
      <c r="DUW15" s="260"/>
      <c r="DUX15" s="260"/>
      <c r="DUY15" s="260"/>
      <c r="DUZ15" s="260"/>
      <c r="DVA15" s="260"/>
      <c r="DVB15" s="260"/>
      <c r="DVC15" s="260"/>
      <c r="DVD15" s="260"/>
      <c r="DVE15" s="260"/>
      <c r="DVF15" s="260"/>
      <c r="DVG15" s="260"/>
      <c r="DVH15" s="260"/>
      <c r="DVI15" s="260"/>
      <c r="DVJ15" s="260"/>
      <c r="DVK15" s="260"/>
      <c r="DVL15" s="260"/>
      <c r="DVM15" s="260"/>
      <c r="DVN15" s="260"/>
      <c r="DVO15" s="260"/>
      <c r="DVP15" s="260"/>
      <c r="DVQ15" s="260"/>
      <c r="DVR15" s="260"/>
      <c r="DVS15" s="260"/>
      <c r="DVT15" s="260"/>
      <c r="DVU15" s="260"/>
      <c r="DVV15" s="260"/>
      <c r="DVW15" s="260"/>
      <c r="DVX15" s="260"/>
      <c r="DVY15" s="260"/>
      <c r="DVZ15" s="260"/>
      <c r="DWA15" s="260"/>
      <c r="DWB15" s="260"/>
      <c r="DWC15" s="260"/>
      <c r="DWD15" s="260"/>
      <c r="DWE15" s="260"/>
      <c r="DWF15" s="260"/>
      <c r="DWG15" s="260"/>
      <c r="DWH15" s="260"/>
      <c r="DWI15" s="260"/>
      <c r="DWJ15" s="260"/>
      <c r="DWK15" s="260"/>
      <c r="DWL15" s="260"/>
      <c r="DWM15" s="260"/>
      <c r="DWN15" s="260"/>
      <c r="DWO15" s="260"/>
      <c r="DWP15" s="260"/>
      <c r="DWQ15" s="260"/>
      <c r="DWR15" s="260"/>
      <c r="DWS15" s="260"/>
      <c r="DWT15" s="260"/>
      <c r="DWU15" s="260"/>
      <c r="DWV15" s="260"/>
      <c r="DWW15" s="260"/>
      <c r="DWX15" s="260"/>
      <c r="DWY15" s="260"/>
      <c r="DWZ15" s="260"/>
      <c r="DXA15" s="260"/>
      <c r="DXB15" s="260"/>
      <c r="DXC15" s="260"/>
      <c r="DXD15" s="260"/>
      <c r="DXE15" s="260"/>
      <c r="DXF15" s="260"/>
      <c r="DXG15" s="260"/>
      <c r="DXH15" s="260"/>
      <c r="DXI15" s="260"/>
      <c r="DXJ15" s="260"/>
      <c r="DXK15" s="260"/>
      <c r="DXL15" s="260"/>
      <c r="DXM15" s="260"/>
      <c r="DXN15" s="260"/>
      <c r="DXO15" s="260"/>
      <c r="DXP15" s="260"/>
      <c r="DXQ15" s="260"/>
      <c r="DXR15" s="260"/>
      <c r="DXS15" s="260"/>
      <c r="DXT15" s="260"/>
      <c r="DXU15" s="260"/>
      <c r="DXV15" s="260"/>
      <c r="DXW15" s="260"/>
      <c r="DXX15" s="260"/>
      <c r="DXY15" s="260"/>
      <c r="DXZ15" s="260"/>
      <c r="DYA15" s="260"/>
      <c r="DYB15" s="260"/>
      <c r="DYC15" s="260"/>
      <c r="DYD15" s="260"/>
      <c r="DYE15" s="260"/>
      <c r="DYF15" s="260"/>
      <c r="DYG15" s="260"/>
      <c r="DYH15" s="260"/>
      <c r="DYI15" s="260"/>
      <c r="DYJ15" s="260"/>
      <c r="DYK15" s="260"/>
      <c r="DYL15" s="260"/>
      <c r="DYM15" s="260"/>
      <c r="DYN15" s="260"/>
      <c r="DYO15" s="260"/>
      <c r="DYP15" s="260"/>
      <c r="DYQ15" s="260"/>
      <c r="DYR15" s="260"/>
      <c r="DYS15" s="260"/>
      <c r="DYT15" s="260"/>
      <c r="DYU15" s="260"/>
      <c r="DYV15" s="260"/>
      <c r="DYW15" s="260"/>
      <c r="DYX15" s="260"/>
      <c r="DYY15" s="260"/>
      <c r="DYZ15" s="260"/>
      <c r="DZA15" s="260"/>
      <c r="DZB15" s="260"/>
      <c r="DZC15" s="260"/>
      <c r="DZD15" s="260"/>
      <c r="DZE15" s="260"/>
      <c r="DZF15" s="260"/>
      <c r="DZG15" s="260"/>
      <c r="DZH15" s="260"/>
      <c r="DZI15" s="260"/>
      <c r="DZJ15" s="260"/>
      <c r="DZK15" s="260"/>
      <c r="DZL15" s="260"/>
      <c r="DZM15" s="260"/>
      <c r="DZN15" s="260"/>
      <c r="DZO15" s="260"/>
      <c r="DZP15" s="260"/>
      <c r="DZQ15" s="260"/>
      <c r="DZR15" s="260"/>
      <c r="DZS15" s="260"/>
      <c r="DZT15" s="260"/>
      <c r="DZU15" s="260"/>
      <c r="DZV15" s="260"/>
      <c r="DZW15" s="260"/>
      <c r="DZX15" s="260"/>
      <c r="DZY15" s="260"/>
      <c r="DZZ15" s="260"/>
      <c r="EAA15" s="260"/>
      <c r="EAB15" s="260"/>
      <c r="EAC15" s="260"/>
      <c r="EAD15" s="260"/>
      <c r="EAE15" s="260"/>
      <c r="EAF15" s="260"/>
      <c r="EAG15" s="260"/>
      <c r="EAH15" s="260"/>
      <c r="EAI15" s="260"/>
      <c r="EAJ15" s="260"/>
      <c r="EAK15" s="260"/>
      <c r="EAL15" s="260"/>
      <c r="EAM15" s="260"/>
      <c r="EAN15" s="260"/>
      <c r="EAO15" s="260"/>
      <c r="EAP15" s="260"/>
      <c r="EAQ15" s="260"/>
      <c r="EAR15" s="260"/>
      <c r="EAS15" s="260"/>
      <c r="EAT15" s="260"/>
      <c r="EAU15" s="260"/>
      <c r="EAV15" s="260"/>
      <c r="EAW15" s="260"/>
      <c r="EAX15" s="260"/>
      <c r="EAY15" s="260"/>
      <c r="EAZ15" s="260"/>
      <c r="EBA15" s="260"/>
      <c r="EBB15" s="260"/>
      <c r="EBC15" s="260"/>
      <c r="EBD15" s="260"/>
      <c r="EBE15" s="260"/>
      <c r="EBF15" s="260"/>
      <c r="EBG15" s="260"/>
      <c r="EBH15" s="260"/>
      <c r="EBI15" s="260"/>
      <c r="EBJ15" s="260"/>
      <c r="EBK15" s="260"/>
      <c r="EBL15" s="260"/>
      <c r="EBM15" s="260"/>
      <c r="EBN15" s="260"/>
      <c r="EBO15" s="260"/>
      <c r="EBP15" s="260"/>
      <c r="EBQ15" s="260"/>
      <c r="EBR15" s="260"/>
      <c r="EBS15" s="260"/>
      <c r="EBT15" s="260"/>
      <c r="EBU15" s="260"/>
      <c r="EBV15" s="260"/>
      <c r="EBW15" s="260"/>
      <c r="EBX15" s="260"/>
      <c r="EBY15" s="260"/>
      <c r="EBZ15" s="260"/>
      <c r="ECA15" s="260"/>
      <c r="ECB15" s="260"/>
      <c r="ECC15" s="260"/>
      <c r="ECD15" s="260"/>
      <c r="ECE15" s="260"/>
      <c r="ECF15" s="260"/>
      <c r="ECG15" s="260"/>
      <c r="ECH15" s="260"/>
      <c r="ECI15" s="260"/>
      <c r="ECJ15" s="260"/>
      <c r="ECK15" s="260"/>
      <c r="ECL15" s="260"/>
      <c r="ECM15" s="260"/>
      <c r="ECN15" s="260"/>
      <c r="ECO15" s="260"/>
      <c r="ECP15" s="260"/>
      <c r="ECQ15" s="260"/>
      <c r="ECR15" s="260"/>
      <c r="ECS15" s="260"/>
      <c r="ECT15" s="260"/>
      <c r="ECU15" s="260"/>
      <c r="ECV15" s="260"/>
      <c r="ECW15" s="260"/>
      <c r="ECX15" s="260"/>
      <c r="ECY15" s="260"/>
      <c r="ECZ15" s="260"/>
      <c r="EDA15" s="260"/>
      <c r="EDB15" s="260"/>
      <c r="EDC15" s="260"/>
      <c r="EDD15" s="260"/>
      <c r="EDE15" s="260"/>
      <c r="EDF15" s="260"/>
      <c r="EDG15" s="260"/>
      <c r="EDH15" s="260"/>
      <c r="EDI15" s="260"/>
      <c r="EDJ15" s="260"/>
      <c r="EDK15" s="260"/>
      <c r="EDL15" s="260"/>
      <c r="EDM15" s="260"/>
      <c r="EDN15" s="260"/>
      <c r="EDO15" s="260"/>
      <c r="EDP15" s="260"/>
      <c r="EDQ15" s="260"/>
      <c r="EDR15" s="260"/>
      <c r="EDS15" s="260"/>
      <c r="EDT15" s="260"/>
      <c r="EDU15" s="260"/>
      <c r="EDV15" s="260"/>
      <c r="EDW15" s="260"/>
      <c r="EDX15" s="260"/>
      <c r="EDY15" s="260"/>
      <c r="EDZ15" s="260"/>
      <c r="EEA15" s="260"/>
      <c r="EEB15" s="260"/>
      <c r="EEC15" s="260"/>
      <c r="EED15" s="260"/>
      <c r="EEE15" s="260"/>
      <c r="EEF15" s="260"/>
      <c r="EEG15" s="260"/>
      <c r="EEH15" s="260"/>
      <c r="EEI15" s="260"/>
      <c r="EEJ15" s="260"/>
      <c r="EEK15" s="260"/>
      <c r="EEL15" s="260"/>
      <c r="EEM15" s="260"/>
      <c r="EEN15" s="260"/>
      <c r="EEO15" s="260"/>
      <c r="EEP15" s="260"/>
      <c r="EEQ15" s="260"/>
      <c r="EER15" s="260"/>
      <c r="EES15" s="260"/>
      <c r="EET15" s="260"/>
      <c r="EEU15" s="260"/>
      <c r="EEV15" s="260"/>
      <c r="EEW15" s="260"/>
      <c r="EEX15" s="260"/>
      <c r="EEY15" s="260"/>
      <c r="EEZ15" s="260"/>
      <c r="EFA15" s="260"/>
      <c r="EFB15" s="260"/>
      <c r="EFC15" s="260"/>
      <c r="EFD15" s="260"/>
      <c r="EFE15" s="260"/>
      <c r="EFF15" s="260"/>
      <c r="EFG15" s="260"/>
      <c r="EFH15" s="260"/>
      <c r="EFI15" s="260"/>
      <c r="EFJ15" s="260"/>
      <c r="EFK15" s="260"/>
      <c r="EFL15" s="260"/>
      <c r="EFM15" s="260"/>
      <c r="EFN15" s="260"/>
      <c r="EFO15" s="260"/>
      <c r="EFP15" s="260"/>
      <c r="EFQ15" s="260"/>
      <c r="EFR15" s="260"/>
      <c r="EFS15" s="260"/>
      <c r="EFT15" s="260"/>
      <c r="EFU15" s="260"/>
      <c r="EFV15" s="260"/>
      <c r="EFW15" s="260"/>
      <c r="EFX15" s="260"/>
      <c r="EFY15" s="260"/>
      <c r="EFZ15" s="260"/>
      <c r="EGA15" s="260"/>
      <c r="EGB15" s="260"/>
      <c r="EGC15" s="260"/>
      <c r="EGD15" s="260"/>
      <c r="EGE15" s="260"/>
      <c r="EGF15" s="260"/>
      <c r="EGG15" s="260"/>
      <c r="EGH15" s="260"/>
      <c r="EGI15" s="260"/>
      <c r="EGJ15" s="260"/>
      <c r="EGK15" s="260"/>
      <c r="EGL15" s="260"/>
      <c r="EGM15" s="260"/>
      <c r="EGN15" s="260"/>
      <c r="EGO15" s="260"/>
      <c r="EGP15" s="260"/>
      <c r="EGQ15" s="260"/>
      <c r="EGR15" s="260"/>
      <c r="EGS15" s="260"/>
      <c r="EGT15" s="260"/>
      <c r="EGU15" s="260"/>
      <c r="EGV15" s="260"/>
      <c r="EGW15" s="260"/>
      <c r="EGX15" s="260"/>
      <c r="EGY15" s="260"/>
      <c r="EGZ15" s="260"/>
      <c r="EHA15" s="260"/>
      <c r="EHB15" s="260"/>
      <c r="EHC15" s="260"/>
      <c r="EHD15" s="260"/>
      <c r="EHE15" s="260"/>
      <c r="EHF15" s="260"/>
      <c r="EHG15" s="260"/>
      <c r="EHH15" s="260"/>
      <c r="EHI15" s="260"/>
      <c r="EHJ15" s="260"/>
      <c r="EHK15" s="260"/>
      <c r="EHL15" s="260"/>
      <c r="EHM15" s="260"/>
      <c r="EHN15" s="260"/>
      <c r="EHO15" s="260"/>
      <c r="EHP15" s="260"/>
      <c r="EHQ15" s="260"/>
      <c r="EHR15" s="260"/>
      <c r="EHS15" s="260"/>
      <c r="EHT15" s="260"/>
      <c r="EHU15" s="260"/>
      <c r="EHV15" s="260"/>
      <c r="EHW15" s="260"/>
      <c r="EHX15" s="260"/>
      <c r="EHY15" s="260"/>
      <c r="EHZ15" s="260"/>
      <c r="EIA15" s="260"/>
      <c r="EIB15" s="260"/>
      <c r="EIC15" s="260"/>
      <c r="EID15" s="260"/>
      <c r="EIE15" s="260"/>
      <c r="EIF15" s="260"/>
      <c r="EIG15" s="260"/>
      <c r="EIH15" s="260"/>
      <c r="EII15" s="260"/>
      <c r="EIJ15" s="260"/>
      <c r="EIK15" s="260"/>
      <c r="EIL15" s="260"/>
      <c r="EIM15" s="260"/>
      <c r="EIN15" s="260"/>
      <c r="EIO15" s="260"/>
      <c r="EIP15" s="260"/>
      <c r="EIQ15" s="260"/>
      <c r="EIR15" s="260"/>
      <c r="EIS15" s="260"/>
      <c r="EIT15" s="260"/>
      <c r="EIU15" s="260"/>
      <c r="EIV15" s="260"/>
      <c r="EIW15" s="260"/>
      <c r="EIX15" s="260"/>
      <c r="EIY15" s="260"/>
      <c r="EIZ15" s="260"/>
      <c r="EJA15" s="260"/>
      <c r="EJB15" s="260"/>
      <c r="EJC15" s="260"/>
      <c r="EJD15" s="260"/>
      <c r="EJE15" s="260"/>
      <c r="EJF15" s="260"/>
      <c r="EJG15" s="260"/>
      <c r="EJH15" s="260"/>
      <c r="EJI15" s="260"/>
      <c r="EJJ15" s="260"/>
      <c r="EJK15" s="260"/>
      <c r="EJL15" s="260"/>
      <c r="EJM15" s="260"/>
      <c r="EJN15" s="260"/>
      <c r="EJO15" s="260"/>
      <c r="EJP15" s="260"/>
      <c r="EJQ15" s="260"/>
      <c r="EJR15" s="260"/>
      <c r="EJS15" s="260"/>
      <c r="EJT15" s="260"/>
      <c r="EJU15" s="260"/>
      <c r="EJV15" s="260"/>
      <c r="EJW15" s="260"/>
      <c r="EJX15" s="260"/>
      <c r="EJY15" s="260"/>
      <c r="EJZ15" s="260"/>
      <c r="EKA15" s="260"/>
      <c r="EKB15" s="260"/>
      <c r="EKC15" s="260"/>
      <c r="EKD15" s="260"/>
      <c r="EKE15" s="260"/>
      <c r="EKF15" s="260"/>
      <c r="EKG15" s="260"/>
      <c r="EKH15" s="260"/>
      <c r="EKI15" s="260"/>
      <c r="EKJ15" s="260"/>
      <c r="EKK15" s="260"/>
      <c r="EKL15" s="260"/>
      <c r="EKM15" s="260"/>
      <c r="EKN15" s="260"/>
      <c r="EKO15" s="260"/>
      <c r="EKP15" s="260"/>
      <c r="EKQ15" s="260"/>
      <c r="EKR15" s="260"/>
      <c r="EKS15" s="260"/>
      <c r="EKT15" s="260"/>
      <c r="EKU15" s="260"/>
      <c r="EKV15" s="260"/>
      <c r="EKW15" s="260"/>
      <c r="EKX15" s="260"/>
      <c r="EKY15" s="260"/>
      <c r="EKZ15" s="260"/>
      <c r="ELA15" s="260"/>
      <c r="ELB15" s="260"/>
      <c r="ELC15" s="260"/>
      <c r="ELD15" s="260"/>
      <c r="ELE15" s="260"/>
      <c r="ELF15" s="260"/>
      <c r="ELG15" s="260"/>
      <c r="ELH15" s="260"/>
      <c r="ELI15" s="260"/>
      <c r="ELJ15" s="260"/>
      <c r="ELK15" s="260"/>
      <c r="ELL15" s="260"/>
      <c r="ELM15" s="260"/>
      <c r="ELN15" s="260"/>
      <c r="ELO15" s="260"/>
      <c r="ELP15" s="260"/>
      <c r="ELQ15" s="260"/>
      <c r="ELR15" s="260"/>
      <c r="ELS15" s="260"/>
      <c r="ELT15" s="260"/>
      <c r="ELU15" s="260"/>
      <c r="ELV15" s="260"/>
      <c r="ELW15" s="260"/>
      <c r="ELX15" s="260"/>
      <c r="ELY15" s="260"/>
      <c r="ELZ15" s="260"/>
      <c r="EMA15" s="260"/>
      <c r="EMB15" s="260"/>
      <c r="EMC15" s="260"/>
      <c r="EMD15" s="260"/>
      <c r="EME15" s="260"/>
      <c r="EMF15" s="260"/>
      <c r="EMG15" s="260"/>
      <c r="EMH15" s="260"/>
      <c r="EMI15" s="260"/>
      <c r="EMJ15" s="260"/>
      <c r="EMK15" s="260"/>
      <c r="EML15" s="260"/>
      <c r="EMM15" s="260"/>
      <c r="EMN15" s="260"/>
      <c r="EMO15" s="260"/>
      <c r="EMP15" s="260"/>
      <c r="EMQ15" s="260"/>
      <c r="EMR15" s="260"/>
      <c r="EMS15" s="260"/>
      <c r="EMT15" s="260"/>
      <c r="EMU15" s="260"/>
      <c r="EMV15" s="260"/>
      <c r="EMW15" s="260"/>
      <c r="EMX15" s="260"/>
      <c r="EMY15" s="260"/>
      <c r="EMZ15" s="260"/>
      <c r="ENA15" s="260"/>
      <c r="ENB15" s="260"/>
      <c r="ENC15" s="260"/>
      <c r="END15" s="260"/>
      <c r="ENE15" s="260"/>
      <c r="ENF15" s="260"/>
      <c r="ENG15" s="260"/>
      <c r="ENH15" s="260"/>
      <c r="ENI15" s="260"/>
      <c r="ENJ15" s="260"/>
      <c r="ENK15" s="260"/>
      <c r="ENL15" s="260"/>
      <c r="ENM15" s="260"/>
      <c r="ENN15" s="260"/>
      <c r="ENO15" s="260"/>
      <c r="ENP15" s="260"/>
      <c r="ENQ15" s="260"/>
      <c r="ENR15" s="260"/>
      <c r="ENS15" s="260"/>
      <c r="ENT15" s="260"/>
      <c r="ENU15" s="260"/>
      <c r="ENV15" s="260"/>
      <c r="ENW15" s="260"/>
      <c r="ENX15" s="260"/>
      <c r="ENY15" s="260"/>
      <c r="ENZ15" s="260"/>
      <c r="EOA15" s="260"/>
      <c r="EOB15" s="260"/>
      <c r="EOC15" s="260"/>
      <c r="EOD15" s="260"/>
      <c r="EOE15" s="260"/>
      <c r="EOF15" s="260"/>
      <c r="EOG15" s="260"/>
      <c r="EOH15" s="260"/>
      <c r="EOI15" s="260"/>
      <c r="EOJ15" s="260"/>
      <c r="EOK15" s="260"/>
      <c r="EOL15" s="260"/>
      <c r="EOM15" s="260"/>
      <c r="EON15" s="260"/>
      <c r="EOO15" s="260"/>
      <c r="EOP15" s="260"/>
      <c r="EOQ15" s="260"/>
      <c r="EOR15" s="260"/>
      <c r="EOS15" s="260"/>
      <c r="EOT15" s="260"/>
      <c r="EOU15" s="260"/>
      <c r="EOV15" s="260"/>
      <c r="EOW15" s="260"/>
      <c r="EOX15" s="260"/>
      <c r="EOY15" s="260"/>
      <c r="EOZ15" s="260"/>
      <c r="EPA15" s="260"/>
      <c r="EPB15" s="260"/>
      <c r="EPC15" s="260"/>
      <c r="EPD15" s="260"/>
      <c r="EPE15" s="260"/>
      <c r="EPF15" s="260"/>
      <c r="EPG15" s="260"/>
      <c r="EPH15" s="260"/>
      <c r="EPI15" s="260"/>
      <c r="EPJ15" s="260"/>
      <c r="EPK15" s="260"/>
      <c r="EPL15" s="260"/>
      <c r="EPM15" s="260"/>
      <c r="EPN15" s="260"/>
      <c r="EPO15" s="260"/>
      <c r="EPP15" s="260"/>
      <c r="EPQ15" s="260"/>
      <c r="EPR15" s="260"/>
      <c r="EPS15" s="260"/>
      <c r="EPT15" s="260"/>
      <c r="EPU15" s="260"/>
      <c r="EPV15" s="260"/>
      <c r="EPW15" s="260"/>
      <c r="EPX15" s="260"/>
      <c r="EPY15" s="260"/>
      <c r="EPZ15" s="260"/>
      <c r="EQA15" s="260"/>
      <c r="EQB15" s="260"/>
      <c r="EQC15" s="260"/>
      <c r="EQD15" s="260"/>
      <c r="EQE15" s="260"/>
      <c r="EQF15" s="260"/>
      <c r="EQG15" s="260"/>
      <c r="EQH15" s="260"/>
      <c r="EQI15" s="260"/>
      <c r="EQJ15" s="260"/>
      <c r="EQK15" s="260"/>
      <c r="EQL15" s="260"/>
      <c r="EQM15" s="260"/>
      <c r="EQN15" s="260"/>
      <c r="EQO15" s="260"/>
      <c r="EQP15" s="260"/>
      <c r="EQQ15" s="260"/>
      <c r="EQR15" s="260"/>
      <c r="EQS15" s="260"/>
      <c r="EQT15" s="260"/>
      <c r="EQU15" s="260"/>
      <c r="EQV15" s="260"/>
      <c r="EQW15" s="260"/>
      <c r="EQX15" s="260"/>
      <c r="EQY15" s="260"/>
      <c r="EQZ15" s="260"/>
      <c r="ERA15" s="260"/>
      <c r="ERB15" s="260"/>
      <c r="ERC15" s="260"/>
      <c r="ERD15" s="260"/>
      <c r="ERE15" s="260"/>
      <c r="ERF15" s="260"/>
      <c r="ERG15" s="260"/>
      <c r="ERH15" s="260"/>
      <c r="ERI15" s="260"/>
      <c r="ERJ15" s="260"/>
      <c r="ERK15" s="260"/>
      <c r="ERL15" s="260"/>
      <c r="ERM15" s="260"/>
      <c r="ERN15" s="260"/>
      <c r="ERO15" s="260"/>
      <c r="ERP15" s="260"/>
      <c r="ERQ15" s="260"/>
      <c r="ERR15" s="260"/>
      <c r="ERS15" s="260"/>
      <c r="ERT15" s="260"/>
      <c r="ERU15" s="260"/>
      <c r="ERV15" s="260"/>
      <c r="ERW15" s="260"/>
      <c r="ERX15" s="260"/>
      <c r="ERY15" s="260"/>
      <c r="ERZ15" s="260"/>
      <c r="ESA15" s="260"/>
      <c r="ESB15" s="260"/>
      <c r="ESC15" s="260"/>
      <c r="ESD15" s="260"/>
      <c r="ESE15" s="260"/>
      <c r="ESF15" s="260"/>
      <c r="ESG15" s="260"/>
      <c r="ESH15" s="260"/>
      <c r="ESI15" s="260"/>
      <c r="ESJ15" s="260"/>
      <c r="ESK15" s="260"/>
      <c r="ESL15" s="260"/>
      <c r="ESM15" s="260"/>
      <c r="ESN15" s="260"/>
      <c r="ESO15" s="260"/>
      <c r="ESP15" s="260"/>
      <c r="ESQ15" s="260"/>
      <c r="ESR15" s="260"/>
      <c r="ESS15" s="260"/>
      <c r="EST15" s="260"/>
      <c r="ESU15" s="260"/>
      <c r="ESV15" s="260"/>
      <c r="ESW15" s="260"/>
      <c r="ESX15" s="260"/>
      <c r="ESY15" s="260"/>
      <c r="ESZ15" s="260"/>
      <c r="ETA15" s="260"/>
      <c r="ETB15" s="260"/>
      <c r="ETC15" s="260"/>
      <c r="ETD15" s="260"/>
      <c r="ETE15" s="260"/>
      <c r="ETF15" s="260"/>
      <c r="ETG15" s="260"/>
      <c r="ETH15" s="260"/>
      <c r="ETI15" s="260"/>
      <c r="ETJ15" s="260"/>
      <c r="ETK15" s="260"/>
      <c r="ETL15" s="260"/>
      <c r="ETM15" s="260"/>
      <c r="ETN15" s="260"/>
      <c r="ETO15" s="260"/>
      <c r="ETP15" s="260"/>
      <c r="ETQ15" s="260"/>
      <c r="ETR15" s="260"/>
      <c r="ETS15" s="260"/>
      <c r="ETT15" s="260"/>
      <c r="ETU15" s="260"/>
      <c r="ETV15" s="260"/>
      <c r="ETW15" s="260"/>
      <c r="ETX15" s="260"/>
      <c r="ETY15" s="260"/>
      <c r="ETZ15" s="260"/>
      <c r="EUA15" s="260"/>
      <c r="EUB15" s="260"/>
      <c r="EUC15" s="260"/>
      <c r="EUD15" s="260"/>
      <c r="EUE15" s="260"/>
      <c r="EUF15" s="260"/>
      <c r="EUG15" s="260"/>
      <c r="EUH15" s="260"/>
      <c r="EUI15" s="260"/>
      <c r="EUJ15" s="260"/>
      <c r="EUK15" s="260"/>
      <c r="EUL15" s="260"/>
      <c r="EUM15" s="260"/>
      <c r="EUN15" s="260"/>
      <c r="EUO15" s="260"/>
      <c r="EUP15" s="260"/>
      <c r="EUQ15" s="260"/>
      <c r="EUR15" s="260"/>
      <c r="EUS15" s="260"/>
      <c r="EUT15" s="260"/>
      <c r="EUU15" s="260"/>
      <c r="EUV15" s="260"/>
      <c r="EUW15" s="260"/>
      <c r="EUX15" s="260"/>
      <c r="EUY15" s="260"/>
      <c r="EUZ15" s="260"/>
      <c r="EVA15" s="260"/>
      <c r="EVB15" s="260"/>
      <c r="EVC15" s="260"/>
      <c r="EVD15" s="260"/>
      <c r="EVE15" s="260"/>
      <c r="EVF15" s="260"/>
      <c r="EVG15" s="260"/>
      <c r="EVH15" s="260"/>
      <c r="EVI15" s="260"/>
      <c r="EVJ15" s="260"/>
      <c r="EVK15" s="260"/>
      <c r="EVL15" s="260"/>
      <c r="EVM15" s="260"/>
      <c r="EVN15" s="260"/>
      <c r="EVO15" s="260"/>
      <c r="EVP15" s="260"/>
      <c r="EVQ15" s="260"/>
      <c r="EVR15" s="260"/>
      <c r="EVS15" s="260"/>
      <c r="EVT15" s="260"/>
      <c r="EVU15" s="260"/>
      <c r="EVV15" s="260"/>
      <c r="EVW15" s="260"/>
      <c r="EVX15" s="260"/>
      <c r="EVY15" s="260"/>
      <c r="EVZ15" s="260"/>
      <c r="EWA15" s="260"/>
      <c r="EWB15" s="260"/>
      <c r="EWC15" s="260"/>
      <c r="EWD15" s="260"/>
      <c r="EWE15" s="260"/>
      <c r="EWF15" s="260"/>
      <c r="EWG15" s="260"/>
      <c r="EWH15" s="260"/>
      <c r="EWI15" s="260"/>
      <c r="EWJ15" s="260"/>
      <c r="EWK15" s="260"/>
      <c r="EWL15" s="260"/>
      <c r="EWM15" s="260"/>
      <c r="EWN15" s="260"/>
      <c r="EWO15" s="260"/>
      <c r="EWP15" s="260"/>
      <c r="EWQ15" s="260"/>
      <c r="EWR15" s="260"/>
      <c r="EWS15" s="260"/>
      <c r="EWT15" s="260"/>
      <c r="EWU15" s="260"/>
      <c r="EWV15" s="260"/>
      <c r="EWW15" s="260"/>
      <c r="EWX15" s="260"/>
      <c r="EWY15" s="260"/>
      <c r="EWZ15" s="260"/>
      <c r="EXA15" s="260"/>
      <c r="EXB15" s="260"/>
      <c r="EXC15" s="260"/>
      <c r="EXD15" s="260"/>
      <c r="EXE15" s="260"/>
      <c r="EXF15" s="260"/>
      <c r="EXG15" s="260"/>
      <c r="EXH15" s="260"/>
      <c r="EXI15" s="260"/>
      <c r="EXJ15" s="260"/>
      <c r="EXK15" s="260"/>
      <c r="EXL15" s="260"/>
      <c r="EXM15" s="260"/>
      <c r="EXN15" s="260"/>
      <c r="EXO15" s="260"/>
      <c r="EXP15" s="260"/>
      <c r="EXQ15" s="260"/>
      <c r="EXR15" s="260"/>
      <c r="EXS15" s="260"/>
      <c r="EXT15" s="260"/>
      <c r="EXU15" s="260"/>
      <c r="EXV15" s="260"/>
      <c r="EXW15" s="260"/>
      <c r="EXX15" s="260"/>
      <c r="EXY15" s="260"/>
      <c r="EXZ15" s="260"/>
      <c r="EYA15" s="260"/>
      <c r="EYB15" s="260"/>
      <c r="EYC15" s="260"/>
      <c r="EYD15" s="260"/>
      <c r="EYE15" s="260"/>
      <c r="EYF15" s="260"/>
      <c r="EYG15" s="260"/>
      <c r="EYH15" s="260"/>
      <c r="EYI15" s="260"/>
      <c r="EYJ15" s="260"/>
      <c r="EYK15" s="260"/>
      <c r="EYL15" s="260"/>
      <c r="EYM15" s="260"/>
      <c r="EYN15" s="260"/>
      <c r="EYO15" s="260"/>
      <c r="EYP15" s="260"/>
      <c r="EYQ15" s="260"/>
      <c r="EYR15" s="260"/>
      <c r="EYS15" s="260"/>
      <c r="EYT15" s="260"/>
      <c r="EYU15" s="260"/>
      <c r="EYV15" s="260"/>
      <c r="EYW15" s="260"/>
      <c r="EYX15" s="260"/>
      <c r="EYY15" s="260"/>
      <c r="EYZ15" s="260"/>
      <c r="EZA15" s="260"/>
      <c r="EZB15" s="260"/>
      <c r="EZC15" s="260"/>
      <c r="EZD15" s="260"/>
      <c r="EZE15" s="260"/>
      <c r="EZF15" s="260"/>
      <c r="EZG15" s="260"/>
      <c r="EZH15" s="260"/>
      <c r="EZI15" s="260"/>
      <c r="EZJ15" s="260"/>
      <c r="EZK15" s="260"/>
      <c r="EZL15" s="260"/>
      <c r="EZM15" s="260"/>
      <c r="EZN15" s="260"/>
      <c r="EZO15" s="260"/>
      <c r="EZP15" s="260"/>
      <c r="EZQ15" s="260"/>
      <c r="EZR15" s="260"/>
      <c r="EZS15" s="260"/>
      <c r="EZT15" s="260"/>
      <c r="EZU15" s="260"/>
      <c r="EZV15" s="260"/>
      <c r="EZW15" s="260"/>
      <c r="EZX15" s="260"/>
      <c r="EZY15" s="260"/>
      <c r="EZZ15" s="260"/>
      <c r="FAA15" s="260"/>
      <c r="FAB15" s="260"/>
      <c r="FAC15" s="260"/>
      <c r="FAD15" s="260"/>
      <c r="FAE15" s="260"/>
      <c r="FAF15" s="260"/>
      <c r="FAG15" s="260"/>
      <c r="FAH15" s="260"/>
      <c r="FAI15" s="260"/>
      <c r="FAJ15" s="260"/>
      <c r="FAK15" s="260"/>
      <c r="FAL15" s="260"/>
      <c r="FAM15" s="260"/>
      <c r="FAN15" s="260"/>
      <c r="FAO15" s="260"/>
      <c r="FAP15" s="260"/>
      <c r="FAQ15" s="260"/>
      <c r="FAR15" s="260"/>
      <c r="FAS15" s="260"/>
      <c r="FAT15" s="260"/>
      <c r="FAU15" s="260"/>
      <c r="FAV15" s="260"/>
      <c r="FAW15" s="260"/>
      <c r="FAX15" s="260"/>
      <c r="FAY15" s="260"/>
      <c r="FAZ15" s="260"/>
      <c r="FBA15" s="260"/>
      <c r="FBB15" s="260"/>
      <c r="FBC15" s="260"/>
      <c r="FBD15" s="260"/>
      <c r="FBE15" s="260"/>
      <c r="FBF15" s="260"/>
      <c r="FBG15" s="260"/>
      <c r="FBH15" s="260"/>
      <c r="FBI15" s="260"/>
      <c r="FBJ15" s="260"/>
      <c r="FBK15" s="260"/>
      <c r="FBL15" s="260"/>
      <c r="FBM15" s="260"/>
      <c r="FBN15" s="260"/>
      <c r="FBO15" s="260"/>
      <c r="FBP15" s="260"/>
      <c r="FBQ15" s="260"/>
      <c r="FBR15" s="260"/>
      <c r="FBS15" s="260"/>
      <c r="FBT15" s="260"/>
      <c r="FBU15" s="260"/>
      <c r="FBV15" s="260"/>
      <c r="FBW15" s="260"/>
      <c r="FBX15" s="260"/>
      <c r="FBY15" s="260"/>
      <c r="FBZ15" s="260"/>
      <c r="FCA15" s="260"/>
      <c r="FCB15" s="260"/>
      <c r="FCC15" s="260"/>
      <c r="FCD15" s="260"/>
      <c r="FCE15" s="260"/>
      <c r="FCF15" s="260"/>
      <c r="FCG15" s="260"/>
      <c r="FCH15" s="260"/>
      <c r="FCI15" s="260"/>
      <c r="FCJ15" s="260"/>
      <c r="FCK15" s="260"/>
      <c r="FCL15" s="260"/>
      <c r="FCM15" s="260"/>
      <c r="FCN15" s="260"/>
      <c r="FCO15" s="260"/>
      <c r="FCP15" s="260"/>
      <c r="FCQ15" s="260"/>
      <c r="FCR15" s="260"/>
      <c r="FCS15" s="260"/>
      <c r="FCT15" s="260"/>
      <c r="FCU15" s="260"/>
      <c r="FCV15" s="260"/>
      <c r="FCW15" s="260"/>
      <c r="FCX15" s="260"/>
      <c r="FCY15" s="260"/>
      <c r="FCZ15" s="260"/>
      <c r="FDA15" s="260"/>
      <c r="FDB15" s="260"/>
      <c r="FDC15" s="260"/>
      <c r="FDD15" s="260"/>
      <c r="FDE15" s="260"/>
      <c r="FDF15" s="260"/>
      <c r="FDG15" s="260"/>
      <c r="FDH15" s="260"/>
      <c r="FDI15" s="260"/>
      <c r="FDJ15" s="260"/>
      <c r="FDK15" s="260"/>
      <c r="FDL15" s="260"/>
      <c r="FDM15" s="260"/>
      <c r="FDN15" s="260"/>
      <c r="FDO15" s="260"/>
      <c r="FDP15" s="260"/>
      <c r="FDQ15" s="260"/>
      <c r="FDR15" s="260"/>
      <c r="FDS15" s="260"/>
      <c r="FDT15" s="260"/>
      <c r="FDU15" s="260"/>
      <c r="FDV15" s="260"/>
      <c r="FDW15" s="260"/>
      <c r="FDX15" s="260"/>
      <c r="FDY15" s="260"/>
      <c r="FDZ15" s="260"/>
      <c r="FEA15" s="260"/>
      <c r="FEB15" s="260"/>
      <c r="FEC15" s="260"/>
      <c r="FED15" s="260"/>
      <c r="FEE15" s="260"/>
      <c r="FEF15" s="260"/>
      <c r="FEG15" s="260"/>
      <c r="FEH15" s="260"/>
      <c r="FEI15" s="260"/>
      <c r="FEJ15" s="260"/>
      <c r="FEK15" s="260"/>
      <c r="FEL15" s="260"/>
      <c r="FEM15" s="260"/>
      <c r="FEN15" s="260"/>
      <c r="FEO15" s="260"/>
      <c r="FEP15" s="260"/>
      <c r="FEQ15" s="260"/>
      <c r="FER15" s="260"/>
      <c r="FES15" s="260"/>
      <c r="FET15" s="260"/>
      <c r="FEU15" s="260"/>
      <c r="FEV15" s="260"/>
      <c r="FEW15" s="260"/>
      <c r="FEX15" s="260"/>
      <c r="FEY15" s="260"/>
      <c r="FEZ15" s="260"/>
      <c r="FFA15" s="260"/>
      <c r="FFB15" s="260"/>
      <c r="FFC15" s="260"/>
      <c r="FFD15" s="260"/>
      <c r="FFE15" s="260"/>
      <c r="FFF15" s="260"/>
      <c r="FFG15" s="260"/>
      <c r="FFH15" s="260"/>
      <c r="FFI15" s="260"/>
      <c r="FFJ15" s="260"/>
      <c r="FFK15" s="260"/>
      <c r="FFL15" s="260"/>
      <c r="FFM15" s="260"/>
      <c r="FFN15" s="260"/>
      <c r="FFO15" s="260"/>
      <c r="FFP15" s="260"/>
      <c r="FFQ15" s="260"/>
      <c r="FFR15" s="260"/>
      <c r="FFS15" s="260"/>
      <c r="FFT15" s="260"/>
      <c r="FFU15" s="260"/>
      <c r="FFV15" s="260"/>
      <c r="FFW15" s="260"/>
      <c r="FFX15" s="260"/>
      <c r="FFY15" s="260"/>
      <c r="FFZ15" s="260"/>
      <c r="FGA15" s="260"/>
      <c r="FGB15" s="260"/>
      <c r="FGC15" s="260"/>
      <c r="FGD15" s="260"/>
      <c r="FGE15" s="260"/>
      <c r="FGF15" s="260"/>
      <c r="FGG15" s="260"/>
      <c r="FGH15" s="260"/>
      <c r="FGI15" s="260"/>
      <c r="FGJ15" s="260"/>
      <c r="FGK15" s="260"/>
      <c r="FGL15" s="260"/>
      <c r="FGM15" s="260"/>
      <c r="FGN15" s="260"/>
      <c r="FGO15" s="260"/>
      <c r="FGP15" s="260"/>
      <c r="FGQ15" s="260"/>
      <c r="FGR15" s="260"/>
      <c r="FGS15" s="260"/>
      <c r="FGT15" s="260"/>
      <c r="FGU15" s="260"/>
      <c r="FGV15" s="260"/>
      <c r="FGW15" s="260"/>
      <c r="FGX15" s="260"/>
      <c r="FGY15" s="260"/>
      <c r="FGZ15" s="260"/>
      <c r="FHA15" s="260"/>
      <c r="FHB15" s="260"/>
      <c r="FHC15" s="260"/>
      <c r="FHD15" s="260"/>
      <c r="FHE15" s="260"/>
      <c r="FHF15" s="260"/>
      <c r="FHG15" s="260"/>
      <c r="FHH15" s="260"/>
      <c r="FHI15" s="260"/>
      <c r="FHJ15" s="260"/>
      <c r="FHK15" s="260"/>
      <c r="FHL15" s="260"/>
      <c r="FHM15" s="260"/>
      <c r="FHN15" s="260"/>
      <c r="FHO15" s="260"/>
      <c r="FHP15" s="260"/>
      <c r="FHQ15" s="260"/>
      <c r="FHR15" s="260"/>
      <c r="FHS15" s="260"/>
      <c r="FHT15" s="260"/>
      <c r="FHU15" s="260"/>
      <c r="FHV15" s="260"/>
      <c r="FHW15" s="260"/>
      <c r="FHX15" s="260"/>
      <c r="FHY15" s="260"/>
      <c r="FHZ15" s="260"/>
      <c r="FIA15" s="260"/>
      <c r="FIB15" s="260"/>
      <c r="FIC15" s="260"/>
      <c r="FID15" s="260"/>
      <c r="FIE15" s="260"/>
      <c r="FIF15" s="260"/>
      <c r="FIG15" s="260"/>
      <c r="FIH15" s="260"/>
      <c r="FII15" s="260"/>
      <c r="FIJ15" s="260"/>
      <c r="FIK15" s="260"/>
      <c r="FIL15" s="260"/>
      <c r="FIM15" s="260"/>
      <c r="FIN15" s="260"/>
      <c r="FIO15" s="260"/>
      <c r="FIP15" s="260"/>
      <c r="FIQ15" s="260"/>
      <c r="FIR15" s="260"/>
      <c r="FIS15" s="260"/>
      <c r="FIT15" s="260"/>
      <c r="FIU15" s="260"/>
      <c r="FIV15" s="260"/>
      <c r="FIW15" s="260"/>
      <c r="FIX15" s="260"/>
      <c r="FIY15" s="260"/>
      <c r="FIZ15" s="260"/>
      <c r="FJA15" s="260"/>
      <c r="FJB15" s="260"/>
      <c r="FJC15" s="260"/>
      <c r="FJD15" s="260"/>
      <c r="FJE15" s="260"/>
      <c r="FJF15" s="260"/>
      <c r="FJG15" s="260"/>
      <c r="FJH15" s="260"/>
      <c r="FJI15" s="260"/>
      <c r="FJJ15" s="260"/>
      <c r="FJK15" s="260"/>
      <c r="FJL15" s="260"/>
      <c r="FJM15" s="260"/>
      <c r="FJN15" s="260"/>
      <c r="FJO15" s="260"/>
      <c r="FJP15" s="260"/>
      <c r="FJQ15" s="260"/>
      <c r="FJR15" s="260"/>
      <c r="FJS15" s="260"/>
      <c r="FJT15" s="260"/>
      <c r="FJU15" s="260"/>
      <c r="FJV15" s="260"/>
      <c r="FJW15" s="260"/>
      <c r="FJX15" s="260"/>
      <c r="FJY15" s="260"/>
      <c r="FJZ15" s="260"/>
      <c r="FKA15" s="260"/>
      <c r="FKB15" s="260"/>
      <c r="FKC15" s="260"/>
      <c r="FKD15" s="260"/>
      <c r="FKE15" s="260"/>
      <c r="FKF15" s="260"/>
      <c r="FKG15" s="260"/>
      <c r="FKH15" s="260"/>
      <c r="FKI15" s="260"/>
      <c r="FKJ15" s="260"/>
      <c r="FKK15" s="260"/>
      <c r="FKL15" s="260"/>
      <c r="FKM15" s="260"/>
      <c r="FKN15" s="260"/>
      <c r="FKO15" s="260"/>
      <c r="FKP15" s="260"/>
      <c r="FKQ15" s="260"/>
      <c r="FKR15" s="260"/>
      <c r="FKS15" s="260"/>
      <c r="FKT15" s="260"/>
      <c r="FKU15" s="260"/>
      <c r="FKV15" s="260"/>
      <c r="FKW15" s="260"/>
      <c r="FKX15" s="260"/>
      <c r="FKY15" s="260"/>
      <c r="FKZ15" s="260"/>
      <c r="FLA15" s="260"/>
      <c r="FLB15" s="260"/>
      <c r="FLC15" s="260"/>
      <c r="FLD15" s="260"/>
      <c r="FLE15" s="260"/>
      <c r="FLF15" s="260"/>
      <c r="FLG15" s="260"/>
      <c r="FLH15" s="260"/>
      <c r="FLI15" s="260"/>
      <c r="FLJ15" s="260"/>
      <c r="FLK15" s="260"/>
      <c r="FLL15" s="260"/>
      <c r="FLM15" s="260"/>
      <c r="FLN15" s="260"/>
      <c r="FLO15" s="260"/>
      <c r="FLP15" s="260"/>
      <c r="FLQ15" s="260"/>
      <c r="FLR15" s="260"/>
      <c r="FLS15" s="260"/>
      <c r="FLT15" s="260"/>
      <c r="FLU15" s="260"/>
      <c r="FLV15" s="260"/>
      <c r="FLW15" s="260"/>
      <c r="FLX15" s="260"/>
      <c r="FLY15" s="260"/>
      <c r="FLZ15" s="260"/>
      <c r="FMA15" s="260"/>
      <c r="FMB15" s="260"/>
      <c r="FMC15" s="260"/>
      <c r="FMD15" s="260"/>
      <c r="FME15" s="260"/>
      <c r="FMF15" s="260"/>
      <c r="FMG15" s="260"/>
      <c r="FMH15" s="260"/>
      <c r="FMI15" s="260"/>
      <c r="FMJ15" s="260"/>
      <c r="FMK15" s="260"/>
      <c r="FML15" s="260"/>
      <c r="FMM15" s="260"/>
      <c r="FMN15" s="260"/>
      <c r="FMO15" s="260"/>
      <c r="FMP15" s="260"/>
      <c r="FMQ15" s="260"/>
      <c r="FMR15" s="260"/>
      <c r="FMS15" s="260"/>
      <c r="FMT15" s="260"/>
      <c r="FMU15" s="260"/>
      <c r="FMV15" s="260"/>
      <c r="FMW15" s="260"/>
      <c r="FMX15" s="260"/>
      <c r="FMY15" s="260"/>
      <c r="FMZ15" s="260"/>
      <c r="FNA15" s="260"/>
      <c r="FNB15" s="260"/>
      <c r="FNC15" s="260"/>
      <c r="FND15" s="260"/>
      <c r="FNE15" s="260"/>
      <c r="FNF15" s="260"/>
      <c r="FNG15" s="260"/>
      <c r="FNH15" s="260"/>
      <c r="FNI15" s="260"/>
      <c r="FNJ15" s="260"/>
      <c r="FNK15" s="260"/>
      <c r="FNL15" s="260"/>
      <c r="FNM15" s="260"/>
      <c r="FNN15" s="260"/>
      <c r="FNO15" s="260"/>
      <c r="FNP15" s="260"/>
      <c r="FNQ15" s="260"/>
      <c r="FNR15" s="260"/>
      <c r="FNS15" s="260"/>
      <c r="FNT15" s="260"/>
      <c r="FNU15" s="260"/>
      <c r="FNV15" s="260"/>
      <c r="FNW15" s="260"/>
      <c r="FNX15" s="260"/>
      <c r="FNY15" s="260"/>
      <c r="FNZ15" s="260"/>
      <c r="FOA15" s="260"/>
      <c r="FOB15" s="260"/>
      <c r="FOC15" s="260"/>
      <c r="FOD15" s="260"/>
      <c r="FOE15" s="260"/>
      <c r="FOF15" s="260"/>
      <c r="FOG15" s="260"/>
      <c r="FOH15" s="260"/>
      <c r="FOI15" s="260"/>
      <c r="FOJ15" s="260"/>
      <c r="FOK15" s="260"/>
      <c r="FOL15" s="260"/>
      <c r="FOM15" s="260"/>
      <c r="FON15" s="260"/>
      <c r="FOO15" s="260"/>
      <c r="FOP15" s="260"/>
      <c r="FOQ15" s="260"/>
      <c r="FOR15" s="260"/>
      <c r="FOS15" s="260"/>
      <c r="FOT15" s="260"/>
      <c r="FOU15" s="260"/>
      <c r="FOV15" s="260"/>
      <c r="FOW15" s="260"/>
      <c r="FOX15" s="260"/>
      <c r="FOY15" s="260"/>
      <c r="FOZ15" s="260"/>
      <c r="FPA15" s="260"/>
      <c r="FPB15" s="260"/>
      <c r="FPC15" s="260"/>
      <c r="FPD15" s="260"/>
      <c r="FPE15" s="260"/>
      <c r="FPF15" s="260"/>
      <c r="FPG15" s="260"/>
      <c r="FPH15" s="260"/>
      <c r="FPI15" s="260"/>
      <c r="FPJ15" s="260"/>
      <c r="FPK15" s="260"/>
      <c r="FPL15" s="260"/>
      <c r="FPM15" s="260"/>
      <c r="FPN15" s="260"/>
      <c r="FPO15" s="260"/>
      <c r="FPP15" s="260"/>
      <c r="FPQ15" s="260"/>
      <c r="FPR15" s="260"/>
      <c r="FPS15" s="260"/>
      <c r="FPT15" s="260"/>
      <c r="FPU15" s="260"/>
      <c r="FPV15" s="260"/>
      <c r="FPW15" s="260"/>
      <c r="FPX15" s="260"/>
      <c r="FPY15" s="260"/>
      <c r="FPZ15" s="260"/>
      <c r="FQA15" s="260"/>
      <c r="FQB15" s="260"/>
      <c r="FQC15" s="260"/>
      <c r="FQD15" s="260"/>
      <c r="FQE15" s="260"/>
      <c r="FQF15" s="260"/>
      <c r="FQG15" s="260"/>
      <c r="FQH15" s="260"/>
      <c r="FQI15" s="260"/>
      <c r="FQJ15" s="260"/>
      <c r="FQK15" s="260"/>
      <c r="FQL15" s="260"/>
      <c r="FQM15" s="260"/>
      <c r="FQN15" s="260"/>
      <c r="FQO15" s="260"/>
      <c r="FQP15" s="260"/>
      <c r="FQQ15" s="260"/>
      <c r="FQR15" s="260"/>
      <c r="FQS15" s="260"/>
      <c r="FQT15" s="260"/>
      <c r="FQU15" s="260"/>
      <c r="FQV15" s="260"/>
      <c r="FQW15" s="260"/>
      <c r="FQX15" s="260"/>
      <c r="FQY15" s="260"/>
      <c r="FQZ15" s="260"/>
      <c r="FRA15" s="260"/>
      <c r="FRB15" s="260"/>
      <c r="FRC15" s="260"/>
      <c r="FRD15" s="260"/>
      <c r="FRE15" s="260"/>
      <c r="FRF15" s="260"/>
      <c r="FRG15" s="260"/>
      <c r="FRH15" s="260"/>
      <c r="FRI15" s="260"/>
      <c r="FRJ15" s="260"/>
      <c r="FRK15" s="260"/>
      <c r="FRL15" s="260"/>
      <c r="FRM15" s="260"/>
      <c r="FRN15" s="260"/>
      <c r="FRO15" s="260"/>
      <c r="FRP15" s="260"/>
      <c r="FRQ15" s="260"/>
      <c r="FRR15" s="260"/>
      <c r="FRS15" s="260"/>
      <c r="FRT15" s="260"/>
      <c r="FRU15" s="260"/>
      <c r="FRV15" s="260"/>
      <c r="FRW15" s="260"/>
      <c r="FRX15" s="260"/>
      <c r="FRY15" s="260"/>
      <c r="FRZ15" s="260"/>
      <c r="FSA15" s="260"/>
      <c r="FSB15" s="260"/>
      <c r="FSC15" s="260"/>
      <c r="FSD15" s="260"/>
      <c r="FSE15" s="260"/>
      <c r="FSF15" s="260"/>
      <c r="FSG15" s="260"/>
      <c r="FSH15" s="260"/>
      <c r="FSI15" s="260"/>
      <c r="FSJ15" s="260"/>
      <c r="FSK15" s="260"/>
      <c r="FSL15" s="260"/>
      <c r="FSM15" s="260"/>
      <c r="FSN15" s="260"/>
      <c r="FSO15" s="260"/>
      <c r="FSP15" s="260"/>
      <c r="FSQ15" s="260"/>
      <c r="FSR15" s="260"/>
      <c r="FSS15" s="260"/>
      <c r="FST15" s="260"/>
      <c r="FSU15" s="260"/>
      <c r="FSV15" s="260"/>
      <c r="FSW15" s="260"/>
      <c r="FSX15" s="260"/>
      <c r="FSY15" s="260"/>
      <c r="FSZ15" s="260"/>
      <c r="FTA15" s="260"/>
      <c r="FTB15" s="260"/>
      <c r="FTC15" s="260"/>
      <c r="FTD15" s="260"/>
      <c r="FTE15" s="260"/>
      <c r="FTF15" s="260"/>
      <c r="FTG15" s="260"/>
      <c r="FTH15" s="260"/>
      <c r="FTI15" s="260"/>
      <c r="FTJ15" s="260"/>
      <c r="FTK15" s="260"/>
      <c r="FTL15" s="260"/>
      <c r="FTM15" s="260"/>
      <c r="FTN15" s="260"/>
      <c r="FTO15" s="260"/>
      <c r="FTP15" s="260"/>
      <c r="FTQ15" s="260"/>
      <c r="FTR15" s="260"/>
      <c r="FTS15" s="260"/>
      <c r="FTT15" s="260"/>
      <c r="FTU15" s="260"/>
      <c r="FTV15" s="260"/>
      <c r="FTW15" s="260"/>
      <c r="FTX15" s="260"/>
      <c r="FTY15" s="260"/>
      <c r="FTZ15" s="260"/>
      <c r="FUA15" s="260"/>
      <c r="FUB15" s="260"/>
      <c r="FUC15" s="260"/>
      <c r="FUD15" s="260"/>
      <c r="FUE15" s="260"/>
      <c r="FUF15" s="260"/>
      <c r="FUG15" s="260"/>
      <c r="FUH15" s="260"/>
      <c r="FUI15" s="260"/>
      <c r="FUJ15" s="260"/>
      <c r="FUK15" s="260"/>
      <c r="FUL15" s="260"/>
      <c r="FUM15" s="260"/>
      <c r="FUN15" s="260"/>
      <c r="FUO15" s="260"/>
      <c r="FUP15" s="260"/>
      <c r="FUQ15" s="260"/>
      <c r="FUR15" s="260"/>
      <c r="FUS15" s="260"/>
      <c r="FUT15" s="260"/>
      <c r="FUU15" s="260"/>
      <c r="FUV15" s="260"/>
      <c r="FUW15" s="260"/>
      <c r="FUX15" s="260"/>
      <c r="FUY15" s="260"/>
      <c r="FUZ15" s="260"/>
      <c r="FVA15" s="260"/>
      <c r="FVB15" s="260"/>
      <c r="FVC15" s="260"/>
      <c r="FVD15" s="260"/>
      <c r="FVE15" s="260"/>
      <c r="FVF15" s="260"/>
      <c r="FVG15" s="260"/>
      <c r="FVH15" s="260"/>
      <c r="FVI15" s="260"/>
      <c r="FVJ15" s="260"/>
      <c r="FVK15" s="260"/>
      <c r="FVL15" s="260"/>
      <c r="FVM15" s="260"/>
      <c r="FVN15" s="260"/>
      <c r="FVO15" s="260"/>
      <c r="FVP15" s="260"/>
      <c r="FVQ15" s="260"/>
      <c r="FVR15" s="260"/>
      <c r="FVS15" s="260"/>
      <c r="FVT15" s="260"/>
      <c r="FVU15" s="260"/>
      <c r="FVV15" s="260"/>
      <c r="FVW15" s="260"/>
      <c r="FVX15" s="260"/>
      <c r="FVY15" s="260"/>
      <c r="FVZ15" s="260"/>
      <c r="FWA15" s="260"/>
      <c r="FWB15" s="260"/>
      <c r="FWC15" s="260"/>
      <c r="FWD15" s="260"/>
      <c r="FWE15" s="260"/>
      <c r="FWF15" s="260"/>
      <c r="FWG15" s="260"/>
      <c r="FWH15" s="260"/>
      <c r="FWI15" s="260"/>
      <c r="FWJ15" s="260"/>
      <c r="FWK15" s="260"/>
      <c r="FWL15" s="260"/>
      <c r="FWM15" s="260"/>
      <c r="FWN15" s="260"/>
      <c r="FWO15" s="260"/>
      <c r="FWP15" s="260"/>
      <c r="FWQ15" s="260"/>
      <c r="FWR15" s="260"/>
      <c r="FWS15" s="260"/>
      <c r="FWT15" s="260"/>
      <c r="FWU15" s="260"/>
      <c r="FWV15" s="260"/>
      <c r="FWW15" s="260"/>
      <c r="FWX15" s="260"/>
      <c r="FWY15" s="260"/>
      <c r="FWZ15" s="260"/>
      <c r="FXA15" s="260"/>
      <c r="FXB15" s="260"/>
      <c r="FXC15" s="260"/>
      <c r="FXD15" s="260"/>
      <c r="FXE15" s="260"/>
      <c r="FXF15" s="260"/>
      <c r="FXG15" s="260"/>
      <c r="FXH15" s="260"/>
      <c r="FXI15" s="260"/>
      <c r="FXJ15" s="260"/>
      <c r="FXK15" s="260"/>
      <c r="FXL15" s="260"/>
      <c r="FXM15" s="260"/>
      <c r="FXN15" s="260"/>
      <c r="FXO15" s="260"/>
      <c r="FXP15" s="260"/>
      <c r="FXQ15" s="260"/>
      <c r="FXR15" s="260"/>
      <c r="FXS15" s="260"/>
      <c r="FXT15" s="260"/>
      <c r="FXU15" s="260"/>
      <c r="FXV15" s="260"/>
      <c r="FXW15" s="260"/>
      <c r="FXX15" s="260"/>
      <c r="FXY15" s="260"/>
      <c r="FXZ15" s="260"/>
      <c r="FYA15" s="260"/>
      <c r="FYB15" s="260"/>
      <c r="FYC15" s="260"/>
      <c r="FYD15" s="260"/>
      <c r="FYE15" s="260"/>
      <c r="FYF15" s="260"/>
      <c r="FYG15" s="260"/>
      <c r="FYH15" s="260"/>
      <c r="FYI15" s="260"/>
      <c r="FYJ15" s="260"/>
      <c r="FYK15" s="260"/>
      <c r="FYL15" s="260"/>
      <c r="FYM15" s="260"/>
      <c r="FYN15" s="260"/>
      <c r="FYO15" s="260"/>
      <c r="FYP15" s="260"/>
      <c r="FYQ15" s="260"/>
      <c r="FYR15" s="260"/>
      <c r="FYS15" s="260"/>
      <c r="FYT15" s="260"/>
      <c r="FYU15" s="260"/>
      <c r="FYV15" s="260"/>
      <c r="FYW15" s="260"/>
      <c r="FYX15" s="260"/>
      <c r="FYY15" s="260"/>
      <c r="FYZ15" s="260"/>
      <c r="FZA15" s="260"/>
      <c r="FZB15" s="260"/>
      <c r="FZC15" s="260"/>
      <c r="FZD15" s="260"/>
      <c r="FZE15" s="260"/>
      <c r="FZF15" s="260"/>
      <c r="FZG15" s="260"/>
      <c r="FZH15" s="260"/>
      <c r="FZI15" s="260"/>
      <c r="FZJ15" s="260"/>
      <c r="FZK15" s="260"/>
      <c r="FZL15" s="260"/>
      <c r="FZM15" s="260"/>
      <c r="FZN15" s="260"/>
      <c r="FZO15" s="260"/>
      <c r="FZP15" s="260"/>
      <c r="FZQ15" s="260"/>
      <c r="FZR15" s="260"/>
      <c r="FZS15" s="260"/>
      <c r="FZT15" s="260"/>
      <c r="FZU15" s="260"/>
      <c r="FZV15" s="260"/>
      <c r="FZW15" s="260"/>
      <c r="FZX15" s="260"/>
      <c r="FZY15" s="260"/>
      <c r="FZZ15" s="260"/>
      <c r="GAA15" s="260"/>
      <c r="GAB15" s="260"/>
      <c r="GAC15" s="260"/>
      <c r="GAD15" s="260"/>
      <c r="GAE15" s="260"/>
      <c r="GAF15" s="260"/>
      <c r="GAG15" s="260"/>
      <c r="GAH15" s="260"/>
      <c r="GAI15" s="260"/>
      <c r="GAJ15" s="260"/>
      <c r="GAK15" s="260"/>
      <c r="GAL15" s="260"/>
      <c r="GAM15" s="260"/>
      <c r="GAN15" s="260"/>
      <c r="GAO15" s="260"/>
      <c r="GAP15" s="260"/>
      <c r="GAQ15" s="260"/>
      <c r="GAR15" s="260"/>
      <c r="GAS15" s="260"/>
      <c r="GAT15" s="260"/>
      <c r="GAU15" s="260"/>
      <c r="GAV15" s="260"/>
      <c r="GAW15" s="260"/>
      <c r="GAX15" s="260"/>
      <c r="GAY15" s="260"/>
      <c r="GAZ15" s="260"/>
      <c r="GBA15" s="260"/>
      <c r="GBB15" s="260"/>
      <c r="GBC15" s="260"/>
      <c r="GBD15" s="260"/>
      <c r="GBE15" s="260"/>
      <c r="GBF15" s="260"/>
      <c r="GBG15" s="260"/>
      <c r="GBH15" s="260"/>
      <c r="GBI15" s="260"/>
      <c r="GBJ15" s="260"/>
      <c r="GBK15" s="260"/>
      <c r="GBL15" s="260"/>
      <c r="GBM15" s="260"/>
      <c r="GBN15" s="260"/>
      <c r="GBO15" s="260"/>
      <c r="GBP15" s="260"/>
      <c r="GBQ15" s="260"/>
      <c r="GBR15" s="260"/>
      <c r="GBS15" s="260"/>
      <c r="GBT15" s="260"/>
      <c r="GBU15" s="260"/>
      <c r="GBV15" s="260"/>
      <c r="GBW15" s="260"/>
      <c r="GBX15" s="260"/>
      <c r="GBY15" s="260"/>
      <c r="GBZ15" s="260"/>
      <c r="GCA15" s="260"/>
      <c r="GCB15" s="260"/>
      <c r="GCC15" s="260"/>
      <c r="GCD15" s="260"/>
      <c r="GCE15" s="260"/>
      <c r="GCF15" s="260"/>
      <c r="GCG15" s="260"/>
      <c r="GCH15" s="260"/>
      <c r="GCI15" s="260"/>
      <c r="GCJ15" s="260"/>
      <c r="GCK15" s="260"/>
      <c r="GCL15" s="260"/>
      <c r="GCM15" s="260"/>
      <c r="GCN15" s="260"/>
      <c r="GCO15" s="260"/>
      <c r="GCP15" s="260"/>
      <c r="GCQ15" s="260"/>
      <c r="GCR15" s="260"/>
      <c r="GCS15" s="260"/>
      <c r="GCT15" s="260"/>
      <c r="GCU15" s="260"/>
      <c r="GCV15" s="260"/>
      <c r="GCW15" s="260"/>
      <c r="GCX15" s="260"/>
      <c r="GCY15" s="260"/>
      <c r="GCZ15" s="260"/>
      <c r="GDA15" s="260"/>
      <c r="GDB15" s="260"/>
      <c r="GDC15" s="260"/>
      <c r="GDD15" s="260"/>
      <c r="GDE15" s="260"/>
      <c r="GDF15" s="260"/>
      <c r="GDG15" s="260"/>
      <c r="GDH15" s="260"/>
      <c r="GDI15" s="260"/>
      <c r="GDJ15" s="260"/>
      <c r="GDK15" s="260"/>
      <c r="GDL15" s="260"/>
      <c r="GDM15" s="260"/>
      <c r="GDN15" s="260"/>
      <c r="GDO15" s="260"/>
      <c r="GDP15" s="260"/>
      <c r="GDQ15" s="260"/>
      <c r="GDR15" s="260"/>
      <c r="GDS15" s="260"/>
      <c r="GDT15" s="260"/>
      <c r="GDU15" s="260"/>
      <c r="GDV15" s="260"/>
      <c r="GDW15" s="260"/>
      <c r="GDX15" s="260"/>
      <c r="GDY15" s="260"/>
      <c r="GDZ15" s="260"/>
      <c r="GEA15" s="260"/>
      <c r="GEB15" s="260"/>
      <c r="GEC15" s="260"/>
      <c r="GED15" s="260"/>
      <c r="GEE15" s="260"/>
      <c r="GEF15" s="260"/>
      <c r="GEG15" s="260"/>
      <c r="GEH15" s="260"/>
      <c r="GEI15" s="260"/>
      <c r="GEJ15" s="260"/>
      <c r="GEK15" s="260"/>
      <c r="GEL15" s="260"/>
      <c r="GEM15" s="260"/>
      <c r="GEN15" s="260"/>
      <c r="GEO15" s="260"/>
      <c r="GEP15" s="260"/>
      <c r="GEQ15" s="260"/>
      <c r="GER15" s="260"/>
      <c r="GES15" s="260"/>
      <c r="GET15" s="260"/>
      <c r="GEU15" s="260"/>
      <c r="GEV15" s="260"/>
      <c r="GEW15" s="260"/>
      <c r="GEX15" s="260"/>
      <c r="GEY15" s="260"/>
      <c r="GEZ15" s="260"/>
      <c r="GFA15" s="260"/>
      <c r="GFB15" s="260"/>
      <c r="GFC15" s="260"/>
      <c r="GFD15" s="260"/>
      <c r="GFE15" s="260"/>
      <c r="GFF15" s="260"/>
      <c r="GFG15" s="260"/>
      <c r="GFH15" s="260"/>
      <c r="GFI15" s="260"/>
      <c r="GFJ15" s="260"/>
      <c r="GFK15" s="260"/>
      <c r="GFL15" s="260"/>
      <c r="GFM15" s="260"/>
      <c r="GFN15" s="260"/>
      <c r="GFO15" s="260"/>
      <c r="GFP15" s="260"/>
      <c r="GFQ15" s="260"/>
      <c r="GFR15" s="260"/>
      <c r="GFS15" s="260"/>
      <c r="GFT15" s="260"/>
      <c r="GFU15" s="260"/>
      <c r="GFV15" s="260"/>
      <c r="GFW15" s="260"/>
      <c r="GFX15" s="260"/>
      <c r="GFY15" s="260"/>
      <c r="GFZ15" s="260"/>
      <c r="GGA15" s="260"/>
      <c r="GGB15" s="260"/>
      <c r="GGC15" s="260"/>
      <c r="GGD15" s="260"/>
      <c r="GGE15" s="260"/>
      <c r="GGF15" s="260"/>
      <c r="GGG15" s="260"/>
      <c r="GGH15" s="260"/>
      <c r="GGI15" s="260"/>
      <c r="GGJ15" s="260"/>
      <c r="GGK15" s="260"/>
      <c r="GGL15" s="260"/>
      <c r="GGM15" s="260"/>
      <c r="GGN15" s="260"/>
      <c r="GGO15" s="260"/>
      <c r="GGP15" s="260"/>
      <c r="GGQ15" s="260"/>
      <c r="GGR15" s="260"/>
      <c r="GGS15" s="260"/>
      <c r="GGT15" s="260"/>
      <c r="GGU15" s="260"/>
      <c r="GGV15" s="260"/>
      <c r="GGW15" s="260"/>
      <c r="GGX15" s="260"/>
      <c r="GGY15" s="260"/>
      <c r="GGZ15" s="260"/>
      <c r="GHA15" s="260"/>
      <c r="GHB15" s="260"/>
      <c r="GHC15" s="260"/>
      <c r="GHD15" s="260"/>
      <c r="GHE15" s="260"/>
      <c r="GHF15" s="260"/>
      <c r="GHG15" s="260"/>
      <c r="GHH15" s="260"/>
      <c r="GHI15" s="260"/>
      <c r="GHJ15" s="260"/>
      <c r="GHK15" s="260"/>
      <c r="GHL15" s="260"/>
      <c r="GHM15" s="260"/>
      <c r="GHN15" s="260"/>
      <c r="GHO15" s="260"/>
      <c r="GHP15" s="260"/>
      <c r="GHQ15" s="260"/>
      <c r="GHR15" s="260"/>
      <c r="GHS15" s="260"/>
      <c r="GHT15" s="260"/>
      <c r="GHU15" s="260"/>
      <c r="GHV15" s="260"/>
      <c r="GHW15" s="260"/>
      <c r="GHX15" s="260"/>
      <c r="GHY15" s="260"/>
      <c r="GHZ15" s="260"/>
      <c r="GIA15" s="260"/>
      <c r="GIB15" s="260"/>
      <c r="GIC15" s="260"/>
      <c r="GID15" s="260"/>
      <c r="GIE15" s="260"/>
      <c r="GIF15" s="260"/>
      <c r="GIG15" s="260"/>
      <c r="GIH15" s="260"/>
      <c r="GII15" s="260"/>
      <c r="GIJ15" s="260"/>
      <c r="GIK15" s="260"/>
      <c r="GIL15" s="260"/>
      <c r="GIM15" s="260"/>
      <c r="GIN15" s="260"/>
      <c r="GIO15" s="260"/>
      <c r="GIP15" s="260"/>
      <c r="GIQ15" s="260"/>
      <c r="GIR15" s="260"/>
      <c r="GIS15" s="260"/>
      <c r="GIT15" s="260"/>
      <c r="GIU15" s="260"/>
      <c r="GIV15" s="260"/>
      <c r="GIW15" s="260"/>
      <c r="GIX15" s="260"/>
      <c r="GIY15" s="260"/>
      <c r="GIZ15" s="260"/>
      <c r="GJA15" s="260"/>
      <c r="GJB15" s="260"/>
      <c r="GJC15" s="260"/>
      <c r="GJD15" s="260"/>
      <c r="GJE15" s="260"/>
      <c r="GJF15" s="260"/>
      <c r="GJG15" s="260"/>
      <c r="GJH15" s="260"/>
      <c r="GJI15" s="260"/>
      <c r="GJJ15" s="260"/>
      <c r="GJK15" s="260"/>
      <c r="GJL15" s="260"/>
      <c r="GJM15" s="260"/>
      <c r="GJN15" s="260"/>
      <c r="GJO15" s="260"/>
      <c r="GJP15" s="260"/>
      <c r="GJQ15" s="260"/>
      <c r="GJR15" s="260"/>
      <c r="GJS15" s="260"/>
      <c r="GJT15" s="260"/>
      <c r="GJU15" s="260"/>
      <c r="GJV15" s="260"/>
      <c r="GJW15" s="260"/>
      <c r="GJX15" s="260"/>
      <c r="GJY15" s="260"/>
      <c r="GJZ15" s="260"/>
      <c r="GKA15" s="260"/>
      <c r="GKB15" s="260"/>
      <c r="GKC15" s="260"/>
      <c r="GKD15" s="260"/>
      <c r="GKE15" s="260"/>
      <c r="GKF15" s="260"/>
      <c r="GKG15" s="260"/>
      <c r="GKH15" s="260"/>
      <c r="GKI15" s="260"/>
      <c r="GKJ15" s="260"/>
      <c r="GKK15" s="260"/>
      <c r="GKL15" s="260"/>
      <c r="GKM15" s="260"/>
      <c r="GKN15" s="260"/>
      <c r="GKO15" s="260"/>
      <c r="GKP15" s="260"/>
      <c r="GKQ15" s="260"/>
      <c r="GKR15" s="260"/>
      <c r="GKS15" s="260"/>
      <c r="GKT15" s="260"/>
      <c r="GKU15" s="260"/>
      <c r="GKV15" s="260"/>
      <c r="GKW15" s="260"/>
      <c r="GKX15" s="260"/>
      <c r="GKY15" s="260"/>
      <c r="GKZ15" s="260"/>
      <c r="GLA15" s="260"/>
      <c r="GLB15" s="260"/>
      <c r="GLC15" s="260"/>
      <c r="GLD15" s="260"/>
      <c r="GLE15" s="260"/>
      <c r="GLF15" s="260"/>
      <c r="GLG15" s="260"/>
      <c r="GLH15" s="260"/>
      <c r="GLI15" s="260"/>
      <c r="GLJ15" s="260"/>
      <c r="GLK15" s="260"/>
      <c r="GLL15" s="260"/>
      <c r="GLM15" s="260"/>
      <c r="GLN15" s="260"/>
      <c r="GLO15" s="260"/>
      <c r="GLP15" s="260"/>
      <c r="GLQ15" s="260"/>
      <c r="GLR15" s="260"/>
      <c r="GLS15" s="260"/>
      <c r="GLT15" s="260"/>
      <c r="GLU15" s="260"/>
      <c r="GLV15" s="260"/>
      <c r="GLW15" s="260"/>
      <c r="GLX15" s="260"/>
      <c r="GLY15" s="260"/>
      <c r="GLZ15" s="260"/>
      <c r="GMA15" s="260"/>
      <c r="GMB15" s="260"/>
      <c r="GMC15" s="260"/>
      <c r="GMD15" s="260"/>
      <c r="GME15" s="260"/>
      <c r="GMF15" s="260"/>
      <c r="GMG15" s="260"/>
      <c r="GMH15" s="260"/>
      <c r="GMI15" s="260"/>
      <c r="GMJ15" s="260"/>
      <c r="GMK15" s="260"/>
      <c r="GML15" s="260"/>
      <c r="GMM15" s="260"/>
      <c r="GMN15" s="260"/>
      <c r="GMO15" s="260"/>
      <c r="GMP15" s="260"/>
      <c r="GMQ15" s="260"/>
      <c r="GMR15" s="260"/>
      <c r="GMS15" s="260"/>
      <c r="GMT15" s="260"/>
      <c r="GMU15" s="260"/>
      <c r="GMV15" s="260"/>
      <c r="GMW15" s="260"/>
      <c r="GMX15" s="260"/>
      <c r="GMY15" s="260"/>
      <c r="GMZ15" s="260"/>
      <c r="GNA15" s="260"/>
      <c r="GNB15" s="260"/>
      <c r="GNC15" s="260"/>
      <c r="GND15" s="260"/>
      <c r="GNE15" s="260"/>
      <c r="GNF15" s="260"/>
      <c r="GNG15" s="260"/>
      <c r="GNH15" s="260"/>
      <c r="GNI15" s="260"/>
      <c r="GNJ15" s="260"/>
      <c r="GNK15" s="260"/>
      <c r="GNL15" s="260"/>
      <c r="GNM15" s="260"/>
      <c r="GNN15" s="260"/>
      <c r="GNO15" s="260"/>
      <c r="GNP15" s="260"/>
      <c r="GNQ15" s="260"/>
      <c r="GNR15" s="260"/>
      <c r="GNS15" s="260"/>
      <c r="GNT15" s="260"/>
      <c r="GNU15" s="260"/>
      <c r="GNV15" s="260"/>
      <c r="GNW15" s="260"/>
      <c r="GNX15" s="260"/>
      <c r="GNY15" s="260"/>
      <c r="GNZ15" s="260"/>
      <c r="GOA15" s="260"/>
      <c r="GOB15" s="260"/>
      <c r="GOC15" s="260"/>
      <c r="GOD15" s="260"/>
      <c r="GOE15" s="260"/>
      <c r="GOF15" s="260"/>
      <c r="GOG15" s="260"/>
      <c r="GOH15" s="260"/>
      <c r="GOI15" s="260"/>
      <c r="GOJ15" s="260"/>
      <c r="GOK15" s="260"/>
      <c r="GOL15" s="260"/>
      <c r="GOM15" s="260"/>
      <c r="GON15" s="260"/>
      <c r="GOO15" s="260"/>
      <c r="GOP15" s="260"/>
      <c r="GOQ15" s="260"/>
      <c r="GOR15" s="260"/>
      <c r="GOS15" s="260"/>
      <c r="GOT15" s="260"/>
      <c r="GOU15" s="260"/>
      <c r="GOV15" s="260"/>
      <c r="GOW15" s="260"/>
      <c r="GOX15" s="260"/>
      <c r="GOY15" s="260"/>
      <c r="GOZ15" s="260"/>
      <c r="GPA15" s="260"/>
      <c r="GPB15" s="260"/>
      <c r="GPC15" s="260"/>
      <c r="GPD15" s="260"/>
      <c r="GPE15" s="260"/>
      <c r="GPF15" s="260"/>
      <c r="GPG15" s="260"/>
      <c r="GPH15" s="260"/>
      <c r="GPI15" s="260"/>
      <c r="GPJ15" s="260"/>
      <c r="GPK15" s="260"/>
      <c r="GPL15" s="260"/>
      <c r="GPM15" s="260"/>
      <c r="GPN15" s="260"/>
      <c r="GPO15" s="260"/>
      <c r="GPP15" s="260"/>
      <c r="GPQ15" s="260"/>
      <c r="GPR15" s="260"/>
      <c r="GPS15" s="260"/>
      <c r="GPT15" s="260"/>
      <c r="GPU15" s="260"/>
      <c r="GPV15" s="260"/>
      <c r="GPW15" s="260"/>
      <c r="GPX15" s="260"/>
      <c r="GPY15" s="260"/>
      <c r="GPZ15" s="260"/>
      <c r="GQA15" s="260"/>
      <c r="GQB15" s="260"/>
      <c r="GQC15" s="260"/>
      <c r="GQD15" s="260"/>
      <c r="GQE15" s="260"/>
      <c r="GQF15" s="260"/>
      <c r="GQG15" s="260"/>
      <c r="GQH15" s="260"/>
      <c r="GQI15" s="260"/>
      <c r="GQJ15" s="260"/>
      <c r="GQK15" s="260"/>
      <c r="GQL15" s="260"/>
      <c r="GQM15" s="260"/>
      <c r="GQN15" s="260"/>
      <c r="GQO15" s="260"/>
      <c r="GQP15" s="260"/>
      <c r="GQQ15" s="260"/>
      <c r="GQR15" s="260"/>
      <c r="GQS15" s="260"/>
      <c r="GQT15" s="260"/>
      <c r="GQU15" s="260"/>
      <c r="GQV15" s="260"/>
      <c r="GQW15" s="260"/>
      <c r="GQX15" s="260"/>
      <c r="GQY15" s="260"/>
      <c r="GQZ15" s="260"/>
      <c r="GRA15" s="260"/>
      <c r="GRB15" s="260"/>
      <c r="GRC15" s="260"/>
      <c r="GRD15" s="260"/>
      <c r="GRE15" s="260"/>
      <c r="GRF15" s="260"/>
      <c r="GRG15" s="260"/>
      <c r="GRH15" s="260"/>
      <c r="GRI15" s="260"/>
      <c r="GRJ15" s="260"/>
      <c r="GRK15" s="260"/>
      <c r="GRL15" s="260"/>
      <c r="GRM15" s="260"/>
      <c r="GRN15" s="260"/>
      <c r="GRO15" s="260"/>
      <c r="GRP15" s="260"/>
      <c r="GRQ15" s="260"/>
      <c r="GRR15" s="260"/>
      <c r="GRS15" s="260"/>
      <c r="GRT15" s="260"/>
      <c r="GRU15" s="260"/>
      <c r="GRV15" s="260"/>
      <c r="GRW15" s="260"/>
      <c r="GRX15" s="260"/>
      <c r="GRY15" s="260"/>
      <c r="GRZ15" s="260"/>
      <c r="GSA15" s="260"/>
      <c r="GSB15" s="260"/>
      <c r="GSC15" s="260"/>
      <c r="GSD15" s="260"/>
      <c r="GSE15" s="260"/>
      <c r="GSF15" s="260"/>
      <c r="GSG15" s="260"/>
      <c r="GSH15" s="260"/>
      <c r="GSI15" s="260"/>
      <c r="GSJ15" s="260"/>
      <c r="GSK15" s="260"/>
      <c r="GSL15" s="260"/>
      <c r="GSM15" s="260"/>
      <c r="GSN15" s="260"/>
      <c r="GSO15" s="260"/>
      <c r="GSP15" s="260"/>
      <c r="GSQ15" s="260"/>
      <c r="GSR15" s="260"/>
      <c r="GSS15" s="260"/>
      <c r="GST15" s="260"/>
      <c r="GSU15" s="260"/>
      <c r="GSV15" s="260"/>
      <c r="GSW15" s="260"/>
      <c r="GSX15" s="260"/>
      <c r="GSY15" s="260"/>
      <c r="GSZ15" s="260"/>
      <c r="GTA15" s="260"/>
      <c r="GTB15" s="260"/>
      <c r="GTC15" s="260"/>
      <c r="GTD15" s="260"/>
      <c r="GTE15" s="260"/>
      <c r="GTF15" s="260"/>
      <c r="GTG15" s="260"/>
      <c r="GTH15" s="260"/>
      <c r="GTI15" s="260"/>
      <c r="GTJ15" s="260"/>
      <c r="GTK15" s="260"/>
      <c r="GTL15" s="260"/>
      <c r="GTM15" s="260"/>
      <c r="GTN15" s="260"/>
      <c r="GTO15" s="260"/>
      <c r="GTP15" s="260"/>
      <c r="GTQ15" s="260"/>
      <c r="GTR15" s="260"/>
      <c r="GTS15" s="260"/>
      <c r="GTT15" s="260"/>
      <c r="GTU15" s="260"/>
      <c r="GTV15" s="260"/>
      <c r="GTW15" s="260"/>
      <c r="GTX15" s="260"/>
      <c r="GTY15" s="260"/>
      <c r="GTZ15" s="260"/>
      <c r="GUA15" s="260"/>
      <c r="GUB15" s="260"/>
      <c r="GUC15" s="260"/>
      <c r="GUD15" s="260"/>
      <c r="GUE15" s="260"/>
      <c r="GUF15" s="260"/>
      <c r="GUG15" s="260"/>
      <c r="GUH15" s="260"/>
      <c r="GUI15" s="260"/>
      <c r="GUJ15" s="260"/>
      <c r="GUK15" s="260"/>
      <c r="GUL15" s="260"/>
      <c r="GUM15" s="260"/>
      <c r="GUN15" s="260"/>
      <c r="GUO15" s="260"/>
      <c r="GUP15" s="260"/>
      <c r="GUQ15" s="260"/>
      <c r="GUR15" s="260"/>
      <c r="GUS15" s="260"/>
      <c r="GUT15" s="260"/>
      <c r="GUU15" s="260"/>
      <c r="GUV15" s="260"/>
      <c r="GUW15" s="260"/>
      <c r="GUX15" s="260"/>
      <c r="GUY15" s="260"/>
      <c r="GUZ15" s="260"/>
      <c r="GVA15" s="260"/>
      <c r="GVB15" s="260"/>
      <c r="GVC15" s="260"/>
      <c r="GVD15" s="260"/>
      <c r="GVE15" s="260"/>
      <c r="GVF15" s="260"/>
      <c r="GVG15" s="260"/>
      <c r="GVH15" s="260"/>
      <c r="GVI15" s="260"/>
      <c r="GVJ15" s="260"/>
      <c r="GVK15" s="260"/>
      <c r="GVL15" s="260"/>
      <c r="GVM15" s="260"/>
      <c r="GVN15" s="260"/>
      <c r="GVO15" s="260"/>
      <c r="GVP15" s="260"/>
      <c r="GVQ15" s="260"/>
      <c r="GVR15" s="260"/>
      <c r="GVS15" s="260"/>
      <c r="GVT15" s="260"/>
      <c r="GVU15" s="260"/>
      <c r="GVV15" s="260"/>
      <c r="GVW15" s="260"/>
      <c r="GVX15" s="260"/>
      <c r="GVY15" s="260"/>
      <c r="GVZ15" s="260"/>
      <c r="GWA15" s="260"/>
      <c r="GWB15" s="260"/>
      <c r="GWC15" s="260"/>
      <c r="GWD15" s="260"/>
      <c r="GWE15" s="260"/>
      <c r="GWF15" s="260"/>
      <c r="GWG15" s="260"/>
      <c r="GWH15" s="260"/>
      <c r="GWI15" s="260"/>
      <c r="GWJ15" s="260"/>
      <c r="GWK15" s="260"/>
      <c r="GWL15" s="260"/>
      <c r="GWM15" s="260"/>
      <c r="GWN15" s="260"/>
      <c r="GWO15" s="260"/>
      <c r="GWP15" s="260"/>
      <c r="GWQ15" s="260"/>
      <c r="GWR15" s="260"/>
      <c r="GWS15" s="260"/>
      <c r="GWT15" s="260"/>
      <c r="GWU15" s="260"/>
      <c r="GWV15" s="260"/>
      <c r="GWW15" s="260"/>
      <c r="GWX15" s="260"/>
      <c r="GWY15" s="260"/>
      <c r="GWZ15" s="260"/>
      <c r="GXA15" s="260"/>
      <c r="GXB15" s="260"/>
      <c r="GXC15" s="260"/>
      <c r="GXD15" s="260"/>
      <c r="GXE15" s="260"/>
      <c r="GXF15" s="260"/>
      <c r="GXG15" s="260"/>
      <c r="GXH15" s="260"/>
      <c r="GXI15" s="260"/>
      <c r="GXJ15" s="260"/>
      <c r="GXK15" s="260"/>
      <c r="GXL15" s="260"/>
      <c r="GXM15" s="260"/>
      <c r="GXN15" s="260"/>
      <c r="GXO15" s="260"/>
      <c r="GXP15" s="260"/>
      <c r="GXQ15" s="260"/>
      <c r="GXR15" s="260"/>
      <c r="GXS15" s="260"/>
      <c r="GXT15" s="260"/>
      <c r="GXU15" s="260"/>
      <c r="GXV15" s="260"/>
      <c r="GXW15" s="260"/>
      <c r="GXX15" s="260"/>
      <c r="GXY15" s="260"/>
      <c r="GXZ15" s="260"/>
      <c r="GYA15" s="260"/>
      <c r="GYB15" s="260"/>
      <c r="GYC15" s="260"/>
      <c r="GYD15" s="260"/>
      <c r="GYE15" s="260"/>
      <c r="GYF15" s="260"/>
      <c r="GYG15" s="260"/>
      <c r="GYH15" s="260"/>
      <c r="GYI15" s="260"/>
      <c r="GYJ15" s="260"/>
      <c r="GYK15" s="260"/>
      <c r="GYL15" s="260"/>
      <c r="GYM15" s="260"/>
      <c r="GYN15" s="260"/>
      <c r="GYO15" s="260"/>
      <c r="GYP15" s="260"/>
      <c r="GYQ15" s="260"/>
      <c r="GYR15" s="260"/>
      <c r="GYS15" s="260"/>
      <c r="GYT15" s="260"/>
      <c r="GYU15" s="260"/>
      <c r="GYV15" s="260"/>
      <c r="GYW15" s="260"/>
      <c r="GYX15" s="260"/>
      <c r="GYY15" s="260"/>
      <c r="GYZ15" s="260"/>
      <c r="GZA15" s="260"/>
      <c r="GZB15" s="260"/>
      <c r="GZC15" s="260"/>
      <c r="GZD15" s="260"/>
      <c r="GZE15" s="260"/>
      <c r="GZF15" s="260"/>
      <c r="GZG15" s="260"/>
      <c r="GZH15" s="260"/>
      <c r="GZI15" s="260"/>
      <c r="GZJ15" s="260"/>
      <c r="GZK15" s="260"/>
      <c r="GZL15" s="260"/>
      <c r="GZM15" s="260"/>
      <c r="GZN15" s="260"/>
      <c r="GZO15" s="260"/>
      <c r="GZP15" s="260"/>
      <c r="GZQ15" s="260"/>
      <c r="GZR15" s="260"/>
      <c r="GZS15" s="260"/>
      <c r="GZT15" s="260"/>
      <c r="GZU15" s="260"/>
      <c r="GZV15" s="260"/>
      <c r="GZW15" s="260"/>
      <c r="GZX15" s="260"/>
      <c r="GZY15" s="260"/>
      <c r="GZZ15" s="260"/>
      <c r="HAA15" s="260"/>
      <c r="HAB15" s="260"/>
      <c r="HAC15" s="260"/>
      <c r="HAD15" s="260"/>
      <c r="HAE15" s="260"/>
      <c r="HAF15" s="260"/>
      <c r="HAG15" s="260"/>
      <c r="HAH15" s="260"/>
      <c r="HAI15" s="260"/>
      <c r="HAJ15" s="260"/>
      <c r="HAK15" s="260"/>
      <c r="HAL15" s="260"/>
      <c r="HAM15" s="260"/>
      <c r="HAN15" s="260"/>
      <c r="HAO15" s="260"/>
      <c r="HAP15" s="260"/>
      <c r="HAQ15" s="260"/>
      <c r="HAR15" s="260"/>
      <c r="HAS15" s="260"/>
      <c r="HAT15" s="260"/>
      <c r="HAU15" s="260"/>
      <c r="HAV15" s="260"/>
      <c r="HAW15" s="260"/>
      <c r="HAX15" s="260"/>
      <c r="HAY15" s="260"/>
      <c r="HAZ15" s="260"/>
      <c r="HBA15" s="260"/>
      <c r="HBB15" s="260"/>
      <c r="HBC15" s="260"/>
      <c r="HBD15" s="260"/>
      <c r="HBE15" s="260"/>
      <c r="HBF15" s="260"/>
      <c r="HBG15" s="260"/>
      <c r="HBH15" s="260"/>
      <c r="HBI15" s="260"/>
      <c r="HBJ15" s="260"/>
      <c r="HBK15" s="260"/>
      <c r="HBL15" s="260"/>
      <c r="HBM15" s="260"/>
      <c r="HBN15" s="260"/>
      <c r="HBO15" s="260"/>
      <c r="HBP15" s="260"/>
      <c r="HBQ15" s="260"/>
      <c r="HBR15" s="260"/>
      <c r="HBS15" s="260"/>
      <c r="HBT15" s="260"/>
      <c r="HBU15" s="260"/>
      <c r="HBV15" s="260"/>
      <c r="HBW15" s="260"/>
      <c r="HBX15" s="260"/>
      <c r="HBY15" s="260"/>
      <c r="HBZ15" s="260"/>
      <c r="HCA15" s="260"/>
      <c r="HCB15" s="260"/>
      <c r="HCC15" s="260"/>
      <c r="HCD15" s="260"/>
      <c r="HCE15" s="260"/>
      <c r="HCF15" s="260"/>
      <c r="HCG15" s="260"/>
      <c r="HCH15" s="260"/>
      <c r="HCI15" s="260"/>
      <c r="HCJ15" s="260"/>
      <c r="HCK15" s="260"/>
      <c r="HCL15" s="260"/>
      <c r="HCM15" s="260"/>
      <c r="HCN15" s="260"/>
      <c r="HCO15" s="260"/>
      <c r="HCP15" s="260"/>
      <c r="HCQ15" s="260"/>
      <c r="HCR15" s="260"/>
      <c r="HCS15" s="260"/>
      <c r="HCT15" s="260"/>
      <c r="HCU15" s="260"/>
      <c r="HCV15" s="260"/>
      <c r="HCW15" s="260"/>
      <c r="HCX15" s="260"/>
      <c r="HCY15" s="260"/>
      <c r="HCZ15" s="260"/>
      <c r="HDA15" s="260"/>
      <c r="HDB15" s="260"/>
      <c r="HDC15" s="260"/>
      <c r="HDD15" s="260"/>
      <c r="HDE15" s="260"/>
      <c r="HDF15" s="260"/>
      <c r="HDG15" s="260"/>
      <c r="HDH15" s="260"/>
      <c r="HDI15" s="260"/>
      <c r="HDJ15" s="260"/>
      <c r="HDK15" s="260"/>
      <c r="HDL15" s="260"/>
      <c r="HDM15" s="260"/>
      <c r="HDN15" s="260"/>
      <c r="HDO15" s="260"/>
      <c r="HDP15" s="260"/>
      <c r="HDQ15" s="260"/>
      <c r="HDR15" s="260"/>
      <c r="HDS15" s="260"/>
      <c r="HDT15" s="260"/>
      <c r="HDU15" s="260"/>
      <c r="HDV15" s="260"/>
      <c r="HDW15" s="260"/>
      <c r="HDX15" s="260"/>
      <c r="HDY15" s="260"/>
      <c r="HDZ15" s="260"/>
      <c r="HEA15" s="260"/>
      <c r="HEB15" s="260"/>
      <c r="HEC15" s="260"/>
      <c r="HED15" s="260"/>
      <c r="HEE15" s="260"/>
      <c r="HEF15" s="260"/>
      <c r="HEG15" s="260"/>
      <c r="HEH15" s="260"/>
      <c r="HEI15" s="260"/>
      <c r="HEJ15" s="260"/>
      <c r="HEK15" s="260"/>
      <c r="HEL15" s="260"/>
      <c r="HEM15" s="260"/>
      <c r="HEN15" s="260"/>
      <c r="HEO15" s="260"/>
      <c r="HEP15" s="260"/>
      <c r="HEQ15" s="260"/>
      <c r="HER15" s="260"/>
      <c r="HES15" s="260"/>
      <c r="HET15" s="260"/>
      <c r="HEU15" s="260"/>
      <c r="HEV15" s="260"/>
      <c r="HEW15" s="260"/>
      <c r="HEX15" s="260"/>
      <c r="HEY15" s="260"/>
      <c r="HEZ15" s="260"/>
      <c r="HFA15" s="260"/>
      <c r="HFB15" s="260"/>
      <c r="HFC15" s="260"/>
      <c r="HFD15" s="260"/>
      <c r="HFE15" s="260"/>
      <c r="HFF15" s="260"/>
      <c r="HFG15" s="260"/>
      <c r="HFH15" s="260"/>
      <c r="HFI15" s="260"/>
      <c r="HFJ15" s="260"/>
      <c r="HFK15" s="260"/>
      <c r="HFL15" s="260"/>
      <c r="HFM15" s="260"/>
      <c r="HFN15" s="260"/>
      <c r="HFO15" s="260"/>
      <c r="HFP15" s="260"/>
      <c r="HFQ15" s="260"/>
      <c r="HFR15" s="260"/>
      <c r="HFS15" s="260"/>
      <c r="HFT15" s="260"/>
      <c r="HFU15" s="260"/>
      <c r="HFV15" s="260"/>
      <c r="HFW15" s="260"/>
      <c r="HFX15" s="260"/>
      <c r="HFY15" s="260"/>
      <c r="HFZ15" s="260"/>
      <c r="HGA15" s="260"/>
      <c r="HGB15" s="260"/>
      <c r="HGC15" s="260"/>
      <c r="HGD15" s="260"/>
      <c r="HGE15" s="260"/>
      <c r="HGF15" s="260"/>
      <c r="HGG15" s="260"/>
      <c r="HGH15" s="260"/>
      <c r="HGI15" s="260"/>
      <c r="HGJ15" s="260"/>
      <c r="HGK15" s="260"/>
      <c r="HGL15" s="260"/>
      <c r="HGM15" s="260"/>
      <c r="HGN15" s="260"/>
      <c r="HGO15" s="260"/>
      <c r="HGP15" s="260"/>
      <c r="HGQ15" s="260"/>
      <c r="HGR15" s="260"/>
      <c r="HGS15" s="260"/>
      <c r="HGT15" s="260"/>
      <c r="HGU15" s="260"/>
      <c r="HGV15" s="260"/>
      <c r="HGW15" s="260"/>
      <c r="HGX15" s="260"/>
      <c r="HGY15" s="260"/>
      <c r="HGZ15" s="260"/>
      <c r="HHA15" s="260"/>
      <c r="HHB15" s="260"/>
      <c r="HHC15" s="260"/>
      <c r="HHD15" s="260"/>
      <c r="HHE15" s="260"/>
      <c r="HHF15" s="260"/>
      <c r="HHG15" s="260"/>
      <c r="HHH15" s="260"/>
      <c r="HHI15" s="260"/>
      <c r="HHJ15" s="260"/>
      <c r="HHK15" s="260"/>
      <c r="HHL15" s="260"/>
      <c r="HHM15" s="260"/>
      <c r="HHN15" s="260"/>
      <c r="HHO15" s="260"/>
      <c r="HHP15" s="260"/>
      <c r="HHQ15" s="260"/>
      <c r="HHR15" s="260"/>
      <c r="HHS15" s="260"/>
      <c r="HHT15" s="260"/>
      <c r="HHU15" s="260"/>
      <c r="HHV15" s="260"/>
      <c r="HHW15" s="260"/>
      <c r="HHX15" s="260"/>
      <c r="HHY15" s="260"/>
      <c r="HHZ15" s="260"/>
      <c r="HIA15" s="260"/>
      <c r="HIB15" s="260"/>
      <c r="HIC15" s="260"/>
      <c r="HID15" s="260"/>
      <c r="HIE15" s="260"/>
      <c r="HIF15" s="260"/>
      <c r="HIG15" s="260"/>
      <c r="HIH15" s="260"/>
      <c r="HII15" s="260"/>
      <c r="HIJ15" s="260"/>
      <c r="HIK15" s="260"/>
      <c r="HIL15" s="260"/>
      <c r="HIM15" s="260"/>
      <c r="HIN15" s="260"/>
      <c r="HIO15" s="260"/>
      <c r="HIP15" s="260"/>
      <c r="HIQ15" s="260"/>
      <c r="HIR15" s="260"/>
      <c r="HIS15" s="260"/>
      <c r="HIT15" s="260"/>
      <c r="HIU15" s="260"/>
      <c r="HIV15" s="260"/>
      <c r="HIW15" s="260"/>
      <c r="HIX15" s="260"/>
      <c r="HIY15" s="260"/>
      <c r="HIZ15" s="260"/>
      <c r="HJA15" s="260"/>
      <c r="HJB15" s="260"/>
      <c r="HJC15" s="260"/>
      <c r="HJD15" s="260"/>
      <c r="HJE15" s="260"/>
      <c r="HJF15" s="260"/>
      <c r="HJG15" s="260"/>
      <c r="HJH15" s="260"/>
      <c r="HJI15" s="260"/>
      <c r="HJJ15" s="260"/>
      <c r="HJK15" s="260"/>
      <c r="HJL15" s="260"/>
      <c r="HJM15" s="260"/>
      <c r="HJN15" s="260"/>
      <c r="HJO15" s="260"/>
      <c r="HJP15" s="260"/>
      <c r="HJQ15" s="260"/>
      <c r="HJR15" s="260"/>
      <c r="HJS15" s="260"/>
      <c r="HJT15" s="260"/>
      <c r="HJU15" s="260"/>
      <c r="HJV15" s="260"/>
      <c r="HJW15" s="260"/>
      <c r="HJX15" s="260"/>
      <c r="HJY15" s="260"/>
      <c r="HJZ15" s="260"/>
      <c r="HKA15" s="260"/>
      <c r="HKB15" s="260"/>
      <c r="HKC15" s="260"/>
      <c r="HKD15" s="260"/>
      <c r="HKE15" s="260"/>
      <c r="HKF15" s="260"/>
      <c r="HKG15" s="260"/>
      <c r="HKH15" s="260"/>
      <c r="HKI15" s="260"/>
      <c r="HKJ15" s="260"/>
      <c r="HKK15" s="260"/>
      <c r="HKL15" s="260"/>
      <c r="HKM15" s="260"/>
      <c r="HKN15" s="260"/>
      <c r="HKO15" s="260"/>
      <c r="HKP15" s="260"/>
      <c r="HKQ15" s="260"/>
      <c r="HKR15" s="260"/>
      <c r="HKS15" s="260"/>
      <c r="HKT15" s="260"/>
      <c r="HKU15" s="260"/>
      <c r="HKV15" s="260"/>
      <c r="HKW15" s="260"/>
      <c r="HKX15" s="260"/>
      <c r="HKY15" s="260"/>
      <c r="HKZ15" s="260"/>
      <c r="HLA15" s="260"/>
      <c r="HLB15" s="260"/>
      <c r="HLC15" s="260"/>
      <c r="HLD15" s="260"/>
      <c r="HLE15" s="260"/>
      <c r="HLF15" s="260"/>
      <c r="HLG15" s="260"/>
      <c r="HLH15" s="260"/>
      <c r="HLI15" s="260"/>
      <c r="HLJ15" s="260"/>
      <c r="HLK15" s="260"/>
      <c r="HLL15" s="260"/>
      <c r="HLM15" s="260"/>
      <c r="HLN15" s="260"/>
      <c r="HLO15" s="260"/>
      <c r="HLP15" s="260"/>
      <c r="HLQ15" s="260"/>
      <c r="HLR15" s="260"/>
      <c r="HLS15" s="260"/>
      <c r="HLT15" s="260"/>
      <c r="HLU15" s="260"/>
      <c r="HLV15" s="260"/>
      <c r="HLW15" s="260"/>
      <c r="HLX15" s="260"/>
      <c r="HLY15" s="260"/>
      <c r="HLZ15" s="260"/>
      <c r="HMA15" s="260"/>
      <c r="HMB15" s="260"/>
      <c r="HMC15" s="260"/>
      <c r="HMD15" s="260"/>
      <c r="HME15" s="260"/>
      <c r="HMF15" s="260"/>
      <c r="HMG15" s="260"/>
      <c r="HMH15" s="260"/>
      <c r="HMI15" s="260"/>
      <c r="HMJ15" s="260"/>
      <c r="HMK15" s="260"/>
      <c r="HML15" s="260"/>
      <c r="HMM15" s="260"/>
      <c r="HMN15" s="260"/>
      <c r="HMO15" s="260"/>
      <c r="HMP15" s="260"/>
      <c r="HMQ15" s="260"/>
      <c r="HMR15" s="260"/>
      <c r="HMS15" s="260"/>
      <c r="HMT15" s="260"/>
      <c r="HMU15" s="260"/>
      <c r="HMV15" s="260"/>
      <c r="HMW15" s="260"/>
      <c r="HMX15" s="260"/>
      <c r="HMY15" s="260"/>
      <c r="HMZ15" s="260"/>
      <c r="HNA15" s="260"/>
      <c r="HNB15" s="260"/>
      <c r="HNC15" s="260"/>
      <c r="HND15" s="260"/>
      <c r="HNE15" s="260"/>
      <c r="HNF15" s="260"/>
      <c r="HNG15" s="260"/>
      <c r="HNH15" s="260"/>
      <c r="HNI15" s="260"/>
      <c r="HNJ15" s="260"/>
      <c r="HNK15" s="260"/>
      <c r="HNL15" s="260"/>
      <c r="HNM15" s="260"/>
      <c r="HNN15" s="260"/>
      <c r="HNO15" s="260"/>
      <c r="HNP15" s="260"/>
      <c r="HNQ15" s="260"/>
      <c r="HNR15" s="260"/>
      <c r="HNS15" s="260"/>
      <c r="HNT15" s="260"/>
      <c r="HNU15" s="260"/>
      <c r="HNV15" s="260"/>
      <c r="HNW15" s="260"/>
      <c r="HNX15" s="260"/>
      <c r="HNY15" s="260"/>
      <c r="HNZ15" s="260"/>
      <c r="HOA15" s="260"/>
      <c r="HOB15" s="260"/>
      <c r="HOC15" s="260"/>
      <c r="HOD15" s="260"/>
      <c r="HOE15" s="260"/>
      <c r="HOF15" s="260"/>
      <c r="HOG15" s="260"/>
      <c r="HOH15" s="260"/>
      <c r="HOI15" s="260"/>
      <c r="HOJ15" s="260"/>
      <c r="HOK15" s="260"/>
      <c r="HOL15" s="260"/>
      <c r="HOM15" s="260"/>
      <c r="HON15" s="260"/>
      <c r="HOO15" s="260"/>
      <c r="HOP15" s="260"/>
      <c r="HOQ15" s="260"/>
      <c r="HOR15" s="260"/>
      <c r="HOS15" s="260"/>
      <c r="HOT15" s="260"/>
      <c r="HOU15" s="260"/>
      <c r="HOV15" s="260"/>
      <c r="HOW15" s="260"/>
      <c r="HOX15" s="260"/>
      <c r="HOY15" s="260"/>
      <c r="HOZ15" s="260"/>
      <c r="HPA15" s="260"/>
      <c r="HPB15" s="260"/>
      <c r="HPC15" s="260"/>
      <c r="HPD15" s="260"/>
      <c r="HPE15" s="260"/>
      <c r="HPF15" s="260"/>
      <c r="HPG15" s="260"/>
      <c r="HPH15" s="260"/>
      <c r="HPI15" s="260"/>
      <c r="HPJ15" s="260"/>
      <c r="HPK15" s="260"/>
      <c r="HPL15" s="260"/>
      <c r="HPM15" s="260"/>
      <c r="HPN15" s="260"/>
      <c r="HPO15" s="260"/>
      <c r="HPP15" s="260"/>
      <c r="HPQ15" s="260"/>
      <c r="HPR15" s="260"/>
      <c r="HPS15" s="260"/>
      <c r="HPT15" s="260"/>
      <c r="HPU15" s="260"/>
      <c r="HPV15" s="260"/>
      <c r="HPW15" s="260"/>
      <c r="HPX15" s="260"/>
      <c r="HPY15" s="260"/>
      <c r="HPZ15" s="260"/>
      <c r="HQA15" s="260"/>
      <c r="HQB15" s="260"/>
      <c r="HQC15" s="260"/>
      <c r="HQD15" s="260"/>
      <c r="HQE15" s="260"/>
      <c r="HQF15" s="260"/>
      <c r="HQG15" s="260"/>
      <c r="HQH15" s="260"/>
      <c r="HQI15" s="260"/>
      <c r="HQJ15" s="260"/>
      <c r="HQK15" s="260"/>
      <c r="HQL15" s="260"/>
      <c r="HQM15" s="260"/>
      <c r="HQN15" s="260"/>
      <c r="HQO15" s="260"/>
      <c r="HQP15" s="260"/>
      <c r="HQQ15" s="260"/>
      <c r="HQR15" s="260"/>
      <c r="HQS15" s="260"/>
      <c r="HQT15" s="260"/>
      <c r="HQU15" s="260"/>
      <c r="HQV15" s="260"/>
      <c r="HQW15" s="260"/>
      <c r="HQX15" s="260"/>
      <c r="HQY15" s="260"/>
      <c r="HQZ15" s="260"/>
      <c r="HRA15" s="260"/>
      <c r="HRB15" s="260"/>
      <c r="HRC15" s="260"/>
      <c r="HRD15" s="260"/>
      <c r="HRE15" s="260"/>
      <c r="HRF15" s="260"/>
      <c r="HRG15" s="260"/>
      <c r="HRH15" s="260"/>
      <c r="HRI15" s="260"/>
      <c r="HRJ15" s="260"/>
      <c r="HRK15" s="260"/>
      <c r="HRL15" s="260"/>
      <c r="HRM15" s="260"/>
      <c r="HRN15" s="260"/>
      <c r="HRO15" s="260"/>
      <c r="HRP15" s="260"/>
      <c r="HRQ15" s="260"/>
      <c r="HRR15" s="260"/>
      <c r="HRS15" s="260"/>
      <c r="HRT15" s="260"/>
      <c r="HRU15" s="260"/>
      <c r="HRV15" s="260"/>
      <c r="HRW15" s="260"/>
      <c r="HRX15" s="260"/>
      <c r="HRY15" s="260"/>
      <c r="HRZ15" s="260"/>
      <c r="HSA15" s="260"/>
      <c r="HSB15" s="260"/>
      <c r="HSC15" s="260"/>
      <c r="HSD15" s="260"/>
      <c r="HSE15" s="260"/>
      <c r="HSF15" s="260"/>
      <c r="HSG15" s="260"/>
      <c r="HSH15" s="260"/>
      <c r="HSI15" s="260"/>
      <c r="HSJ15" s="260"/>
      <c r="HSK15" s="260"/>
      <c r="HSL15" s="260"/>
      <c r="HSM15" s="260"/>
      <c r="HSN15" s="260"/>
      <c r="HSO15" s="260"/>
      <c r="HSP15" s="260"/>
      <c r="HSQ15" s="260"/>
      <c r="HSR15" s="260"/>
      <c r="HSS15" s="260"/>
      <c r="HST15" s="260"/>
      <c r="HSU15" s="260"/>
      <c r="HSV15" s="260"/>
      <c r="HSW15" s="260"/>
      <c r="HSX15" s="260"/>
      <c r="HSY15" s="260"/>
      <c r="HSZ15" s="260"/>
      <c r="HTA15" s="260"/>
      <c r="HTB15" s="260"/>
      <c r="HTC15" s="260"/>
      <c r="HTD15" s="260"/>
      <c r="HTE15" s="260"/>
      <c r="HTF15" s="260"/>
      <c r="HTG15" s="260"/>
      <c r="HTH15" s="260"/>
      <c r="HTI15" s="260"/>
      <c r="HTJ15" s="260"/>
      <c r="HTK15" s="260"/>
      <c r="HTL15" s="260"/>
      <c r="HTM15" s="260"/>
      <c r="HTN15" s="260"/>
      <c r="HTO15" s="260"/>
      <c r="HTP15" s="260"/>
      <c r="HTQ15" s="260"/>
      <c r="HTR15" s="260"/>
      <c r="HTS15" s="260"/>
      <c r="HTT15" s="260"/>
      <c r="HTU15" s="260"/>
      <c r="HTV15" s="260"/>
      <c r="HTW15" s="260"/>
      <c r="HTX15" s="260"/>
      <c r="HTY15" s="260"/>
      <c r="HTZ15" s="260"/>
      <c r="HUA15" s="260"/>
      <c r="HUB15" s="260"/>
      <c r="HUC15" s="260"/>
      <c r="HUD15" s="260"/>
      <c r="HUE15" s="260"/>
      <c r="HUF15" s="260"/>
      <c r="HUG15" s="260"/>
      <c r="HUH15" s="260"/>
      <c r="HUI15" s="260"/>
      <c r="HUJ15" s="260"/>
      <c r="HUK15" s="260"/>
      <c r="HUL15" s="260"/>
      <c r="HUM15" s="260"/>
      <c r="HUN15" s="260"/>
      <c r="HUO15" s="260"/>
      <c r="HUP15" s="260"/>
      <c r="HUQ15" s="260"/>
      <c r="HUR15" s="260"/>
      <c r="HUS15" s="260"/>
      <c r="HUT15" s="260"/>
      <c r="HUU15" s="260"/>
      <c r="HUV15" s="260"/>
      <c r="HUW15" s="260"/>
      <c r="HUX15" s="260"/>
      <c r="HUY15" s="260"/>
      <c r="HUZ15" s="260"/>
      <c r="HVA15" s="260"/>
      <c r="HVB15" s="260"/>
      <c r="HVC15" s="260"/>
      <c r="HVD15" s="260"/>
      <c r="HVE15" s="260"/>
      <c r="HVF15" s="260"/>
      <c r="HVG15" s="260"/>
      <c r="HVH15" s="260"/>
      <c r="HVI15" s="260"/>
      <c r="HVJ15" s="260"/>
      <c r="HVK15" s="260"/>
      <c r="HVL15" s="260"/>
      <c r="HVM15" s="260"/>
      <c r="HVN15" s="260"/>
      <c r="HVO15" s="260"/>
      <c r="HVP15" s="260"/>
      <c r="HVQ15" s="260"/>
      <c r="HVR15" s="260"/>
      <c r="HVS15" s="260"/>
      <c r="HVT15" s="260"/>
      <c r="HVU15" s="260"/>
      <c r="HVV15" s="260"/>
      <c r="HVW15" s="260"/>
      <c r="HVX15" s="260"/>
      <c r="HVY15" s="260"/>
      <c r="HVZ15" s="260"/>
      <c r="HWA15" s="260"/>
      <c r="HWB15" s="260"/>
      <c r="HWC15" s="260"/>
      <c r="HWD15" s="260"/>
      <c r="HWE15" s="260"/>
      <c r="HWF15" s="260"/>
      <c r="HWG15" s="260"/>
      <c r="HWH15" s="260"/>
      <c r="HWI15" s="260"/>
      <c r="HWJ15" s="260"/>
      <c r="HWK15" s="260"/>
      <c r="HWL15" s="260"/>
      <c r="HWM15" s="260"/>
      <c r="HWN15" s="260"/>
      <c r="HWO15" s="260"/>
      <c r="HWP15" s="260"/>
      <c r="HWQ15" s="260"/>
      <c r="HWR15" s="260"/>
      <c r="HWS15" s="260"/>
      <c r="HWT15" s="260"/>
      <c r="HWU15" s="260"/>
      <c r="HWV15" s="260"/>
      <c r="HWW15" s="260"/>
      <c r="HWX15" s="260"/>
      <c r="HWY15" s="260"/>
      <c r="HWZ15" s="260"/>
      <c r="HXA15" s="260"/>
      <c r="HXB15" s="260"/>
      <c r="HXC15" s="260"/>
      <c r="HXD15" s="260"/>
      <c r="HXE15" s="260"/>
      <c r="HXF15" s="260"/>
      <c r="HXG15" s="260"/>
      <c r="HXH15" s="260"/>
      <c r="HXI15" s="260"/>
      <c r="HXJ15" s="260"/>
      <c r="HXK15" s="260"/>
      <c r="HXL15" s="260"/>
      <c r="HXM15" s="260"/>
      <c r="HXN15" s="260"/>
      <c r="HXO15" s="260"/>
      <c r="HXP15" s="260"/>
      <c r="HXQ15" s="260"/>
      <c r="HXR15" s="260"/>
      <c r="HXS15" s="260"/>
      <c r="HXT15" s="260"/>
      <c r="HXU15" s="260"/>
      <c r="HXV15" s="260"/>
      <c r="HXW15" s="260"/>
      <c r="HXX15" s="260"/>
      <c r="HXY15" s="260"/>
      <c r="HXZ15" s="260"/>
      <c r="HYA15" s="260"/>
      <c r="HYB15" s="260"/>
      <c r="HYC15" s="260"/>
      <c r="HYD15" s="260"/>
      <c r="HYE15" s="260"/>
      <c r="HYF15" s="260"/>
      <c r="HYG15" s="260"/>
      <c r="HYH15" s="260"/>
      <c r="HYI15" s="260"/>
      <c r="HYJ15" s="260"/>
      <c r="HYK15" s="260"/>
      <c r="HYL15" s="260"/>
      <c r="HYM15" s="260"/>
      <c r="HYN15" s="260"/>
      <c r="HYO15" s="260"/>
      <c r="HYP15" s="260"/>
      <c r="HYQ15" s="260"/>
      <c r="HYR15" s="260"/>
      <c r="HYS15" s="260"/>
      <c r="HYT15" s="260"/>
      <c r="HYU15" s="260"/>
      <c r="HYV15" s="260"/>
      <c r="HYW15" s="260"/>
      <c r="HYX15" s="260"/>
      <c r="HYY15" s="260"/>
      <c r="HYZ15" s="260"/>
      <c r="HZA15" s="260"/>
      <c r="HZB15" s="260"/>
      <c r="HZC15" s="260"/>
      <c r="HZD15" s="260"/>
      <c r="HZE15" s="260"/>
      <c r="HZF15" s="260"/>
      <c r="HZG15" s="260"/>
      <c r="HZH15" s="260"/>
      <c r="HZI15" s="260"/>
      <c r="HZJ15" s="260"/>
      <c r="HZK15" s="260"/>
      <c r="HZL15" s="260"/>
      <c r="HZM15" s="260"/>
      <c r="HZN15" s="260"/>
      <c r="HZO15" s="260"/>
      <c r="HZP15" s="260"/>
      <c r="HZQ15" s="260"/>
      <c r="HZR15" s="260"/>
      <c r="HZS15" s="260"/>
      <c r="HZT15" s="260"/>
      <c r="HZU15" s="260"/>
      <c r="HZV15" s="260"/>
      <c r="HZW15" s="260"/>
      <c r="HZX15" s="260"/>
      <c r="HZY15" s="260"/>
      <c r="HZZ15" s="260"/>
      <c r="IAA15" s="260"/>
      <c r="IAB15" s="260"/>
      <c r="IAC15" s="260"/>
      <c r="IAD15" s="260"/>
      <c r="IAE15" s="260"/>
      <c r="IAF15" s="260"/>
      <c r="IAG15" s="260"/>
      <c r="IAH15" s="260"/>
      <c r="IAI15" s="260"/>
      <c r="IAJ15" s="260"/>
      <c r="IAK15" s="260"/>
      <c r="IAL15" s="260"/>
      <c r="IAM15" s="260"/>
      <c r="IAN15" s="260"/>
      <c r="IAO15" s="260"/>
      <c r="IAP15" s="260"/>
      <c r="IAQ15" s="260"/>
      <c r="IAR15" s="260"/>
      <c r="IAS15" s="260"/>
      <c r="IAT15" s="260"/>
      <c r="IAU15" s="260"/>
      <c r="IAV15" s="260"/>
      <c r="IAW15" s="260"/>
      <c r="IAX15" s="260"/>
      <c r="IAY15" s="260"/>
      <c r="IAZ15" s="260"/>
      <c r="IBA15" s="260"/>
      <c r="IBB15" s="260"/>
      <c r="IBC15" s="260"/>
      <c r="IBD15" s="260"/>
      <c r="IBE15" s="260"/>
      <c r="IBF15" s="260"/>
      <c r="IBG15" s="260"/>
      <c r="IBH15" s="260"/>
      <c r="IBI15" s="260"/>
      <c r="IBJ15" s="260"/>
      <c r="IBK15" s="260"/>
      <c r="IBL15" s="260"/>
      <c r="IBM15" s="260"/>
      <c r="IBN15" s="260"/>
      <c r="IBO15" s="260"/>
      <c r="IBP15" s="260"/>
      <c r="IBQ15" s="260"/>
      <c r="IBR15" s="260"/>
      <c r="IBS15" s="260"/>
      <c r="IBT15" s="260"/>
      <c r="IBU15" s="260"/>
      <c r="IBV15" s="260"/>
      <c r="IBW15" s="260"/>
      <c r="IBX15" s="260"/>
      <c r="IBY15" s="260"/>
      <c r="IBZ15" s="260"/>
      <c r="ICA15" s="260"/>
      <c r="ICB15" s="260"/>
      <c r="ICC15" s="260"/>
      <c r="ICD15" s="260"/>
      <c r="ICE15" s="260"/>
      <c r="ICF15" s="260"/>
      <c r="ICG15" s="260"/>
      <c r="ICH15" s="260"/>
      <c r="ICI15" s="260"/>
      <c r="ICJ15" s="260"/>
      <c r="ICK15" s="260"/>
      <c r="ICL15" s="260"/>
      <c r="ICM15" s="260"/>
      <c r="ICN15" s="260"/>
      <c r="ICO15" s="260"/>
      <c r="ICP15" s="260"/>
      <c r="ICQ15" s="260"/>
      <c r="ICR15" s="260"/>
      <c r="ICS15" s="260"/>
      <c r="ICT15" s="260"/>
      <c r="ICU15" s="260"/>
      <c r="ICV15" s="260"/>
      <c r="ICW15" s="260"/>
      <c r="ICX15" s="260"/>
      <c r="ICY15" s="260"/>
      <c r="ICZ15" s="260"/>
      <c r="IDA15" s="260"/>
      <c r="IDB15" s="260"/>
      <c r="IDC15" s="260"/>
      <c r="IDD15" s="260"/>
      <c r="IDE15" s="260"/>
      <c r="IDF15" s="260"/>
      <c r="IDG15" s="260"/>
      <c r="IDH15" s="260"/>
      <c r="IDI15" s="260"/>
      <c r="IDJ15" s="260"/>
      <c r="IDK15" s="260"/>
      <c r="IDL15" s="260"/>
      <c r="IDM15" s="260"/>
      <c r="IDN15" s="260"/>
      <c r="IDO15" s="260"/>
      <c r="IDP15" s="260"/>
      <c r="IDQ15" s="260"/>
      <c r="IDR15" s="260"/>
      <c r="IDS15" s="260"/>
      <c r="IDT15" s="260"/>
      <c r="IDU15" s="260"/>
      <c r="IDV15" s="260"/>
      <c r="IDW15" s="260"/>
      <c r="IDX15" s="260"/>
      <c r="IDY15" s="260"/>
      <c r="IDZ15" s="260"/>
      <c r="IEA15" s="260"/>
      <c r="IEB15" s="260"/>
      <c r="IEC15" s="260"/>
      <c r="IED15" s="260"/>
      <c r="IEE15" s="260"/>
      <c r="IEF15" s="260"/>
      <c r="IEG15" s="260"/>
      <c r="IEH15" s="260"/>
      <c r="IEI15" s="260"/>
      <c r="IEJ15" s="260"/>
      <c r="IEK15" s="260"/>
      <c r="IEL15" s="260"/>
      <c r="IEM15" s="260"/>
      <c r="IEN15" s="260"/>
      <c r="IEO15" s="260"/>
      <c r="IEP15" s="260"/>
      <c r="IEQ15" s="260"/>
      <c r="IER15" s="260"/>
      <c r="IES15" s="260"/>
      <c r="IET15" s="260"/>
      <c r="IEU15" s="260"/>
      <c r="IEV15" s="260"/>
      <c r="IEW15" s="260"/>
      <c r="IEX15" s="260"/>
      <c r="IEY15" s="260"/>
      <c r="IEZ15" s="260"/>
      <c r="IFA15" s="260"/>
      <c r="IFB15" s="260"/>
      <c r="IFC15" s="260"/>
      <c r="IFD15" s="260"/>
      <c r="IFE15" s="260"/>
      <c r="IFF15" s="260"/>
      <c r="IFG15" s="260"/>
      <c r="IFH15" s="260"/>
      <c r="IFI15" s="260"/>
      <c r="IFJ15" s="260"/>
      <c r="IFK15" s="260"/>
      <c r="IFL15" s="260"/>
      <c r="IFM15" s="260"/>
      <c r="IFN15" s="260"/>
      <c r="IFO15" s="260"/>
      <c r="IFP15" s="260"/>
      <c r="IFQ15" s="260"/>
      <c r="IFR15" s="260"/>
      <c r="IFS15" s="260"/>
      <c r="IFT15" s="260"/>
      <c r="IFU15" s="260"/>
      <c r="IFV15" s="260"/>
      <c r="IFW15" s="260"/>
      <c r="IFX15" s="260"/>
      <c r="IFY15" s="260"/>
      <c r="IFZ15" s="260"/>
      <c r="IGA15" s="260"/>
      <c r="IGB15" s="260"/>
      <c r="IGC15" s="260"/>
      <c r="IGD15" s="260"/>
      <c r="IGE15" s="260"/>
      <c r="IGF15" s="260"/>
      <c r="IGG15" s="260"/>
      <c r="IGH15" s="260"/>
      <c r="IGI15" s="260"/>
      <c r="IGJ15" s="260"/>
      <c r="IGK15" s="260"/>
      <c r="IGL15" s="260"/>
      <c r="IGM15" s="260"/>
      <c r="IGN15" s="260"/>
      <c r="IGO15" s="260"/>
      <c r="IGP15" s="260"/>
      <c r="IGQ15" s="260"/>
      <c r="IGR15" s="260"/>
      <c r="IGS15" s="260"/>
      <c r="IGT15" s="260"/>
      <c r="IGU15" s="260"/>
      <c r="IGV15" s="260"/>
      <c r="IGW15" s="260"/>
      <c r="IGX15" s="260"/>
      <c r="IGY15" s="260"/>
      <c r="IGZ15" s="260"/>
      <c r="IHA15" s="260"/>
      <c r="IHB15" s="260"/>
      <c r="IHC15" s="260"/>
      <c r="IHD15" s="260"/>
      <c r="IHE15" s="260"/>
      <c r="IHF15" s="260"/>
      <c r="IHG15" s="260"/>
      <c r="IHH15" s="260"/>
      <c r="IHI15" s="260"/>
      <c r="IHJ15" s="260"/>
      <c r="IHK15" s="260"/>
      <c r="IHL15" s="260"/>
      <c r="IHM15" s="260"/>
      <c r="IHN15" s="260"/>
      <c r="IHO15" s="260"/>
      <c r="IHP15" s="260"/>
      <c r="IHQ15" s="260"/>
      <c r="IHR15" s="260"/>
      <c r="IHS15" s="260"/>
      <c r="IHT15" s="260"/>
      <c r="IHU15" s="260"/>
      <c r="IHV15" s="260"/>
      <c r="IHW15" s="260"/>
      <c r="IHX15" s="260"/>
      <c r="IHY15" s="260"/>
      <c r="IHZ15" s="260"/>
      <c r="IIA15" s="260"/>
      <c r="IIB15" s="260"/>
      <c r="IIC15" s="260"/>
      <c r="IID15" s="260"/>
      <c r="IIE15" s="260"/>
      <c r="IIF15" s="260"/>
      <c r="IIG15" s="260"/>
      <c r="IIH15" s="260"/>
      <c r="III15" s="260"/>
      <c r="IIJ15" s="260"/>
      <c r="IIK15" s="260"/>
      <c r="IIL15" s="260"/>
      <c r="IIM15" s="260"/>
      <c r="IIN15" s="260"/>
      <c r="IIO15" s="260"/>
      <c r="IIP15" s="260"/>
      <c r="IIQ15" s="260"/>
      <c r="IIR15" s="260"/>
      <c r="IIS15" s="260"/>
      <c r="IIT15" s="260"/>
      <c r="IIU15" s="260"/>
      <c r="IIV15" s="260"/>
      <c r="IIW15" s="260"/>
      <c r="IIX15" s="260"/>
      <c r="IIY15" s="260"/>
      <c r="IIZ15" s="260"/>
      <c r="IJA15" s="260"/>
      <c r="IJB15" s="260"/>
      <c r="IJC15" s="260"/>
      <c r="IJD15" s="260"/>
      <c r="IJE15" s="260"/>
      <c r="IJF15" s="260"/>
      <c r="IJG15" s="260"/>
      <c r="IJH15" s="260"/>
      <c r="IJI15" s="260"/>
      <c r="IJJ15" s="260"/>
      <c r="IJK15" s="260"/>
      <c r="IJL15" s="260"/>
      <c r="IJM15" s="260"/>
      <c r="IJN15" s="260"/>
      <c r="IJO15" s="260"/>
      <c r="IJP15" s="260"/>
      <c r="IJQ15" s="260"/>
      <c r="IJR15" s="260"/>
      <c r="IJS15" s="260"/>
      <c r="IJT15" s="260"/>
      <c r="IJU15" s="260"/>
      <c r="IJV15" s="260"/>
      <c r="IJW15" s="260"/>
      <c r="IJX15" s="260"/>
      <c r="IJY15" s="260"/>
      <c r="IJZ15" s="260"/>
      <c r="IKA15" s="260"/>
      <c r="IKB15" s="260"/>
      <c r="IKC15" s="260"/>
      <c r="IKD15" s="260"/>
      <c r="IKE15" s="260"/>
      <c r="IKF15" s="260"/>
      <c r="IKG15" s="260"/>
      <c r="IKH15" s="260"/>
      <c r="IKI15" s="260"/>
      <c r="IKJ15" s="260"/>
      <c r="IKK15" s="260"/>
      <c r="IKL15" s="260"/>
      <c r="IKM15" s="260"/>
      <c r="IKN15" s="260"/>
      <c r="IKO15" s="260"/>
      <c r="IKP15" s="260"/>
      <c r="IKQ15" s="260"/>
      <c r="IKR15" s="260"/>
      <c r="IKS15" s="260"/>
      <c r="IKT15" s="260"/>
      <c r="IKU15" s="260"/>
      <c r="IKV15" s="260"/>
      <c r="IKW15" s="260"/>
      <c r="IKX15" s="260"/>
      <c r="IKY15" s="260"/>
      <c r="IKZ15" s="260"/>
      <c r="ILA15" s="260"/>
      <c r="ILB15" s="260"/>
      <c r="ILC15" s="260"/>
      <c r="ILD15" s="260"/>
      <c r="ILE15" s="260"/>
      <c r="ILF15" s="260"/>
      <c r="ILG15" s="260"/>
      <c r="ILH15" s="260"/>
      <c r="ILI15" s="260"/>
      <c r="ILJ15" s="260"/>
      <c r="ILK15" s="260"/>
      <c r="ILL15" s="260"/>
      <c r="ILM15" s="260"/>
      <c r="ILN15" s="260"/>
      <c r="ILO15" s="260"/>
      <c r="ILP15" s="260"/>
      <c r="ILQ15" s="260"/>
      <c r="ILR15" s="260"/>
      <c r="ILS15" s="260"/>
      <c r="ILT15" s="260"/>
      <c r="ILU15" s="260"/>
      <c r="ILV15" s="260"/>
      <c r="ILW15" s="260"/>
      <c r="ILX15" s="260"/>
      <c r="ILY15" s="260"/>
      <c r="ILZ15" s="260"/>
      <c r="IMA15" s="260"/>
      <c r="IMB15" s="260"/>
      <c r="IMC15" s="260"/>
      <c r="IMD15" s="260"/>
      <c r="IME15" s="260"/>
      <c r="IMF15" s="260"/>
      <c r="IMG15" s="260"/>
      <c r="IMH15" s="260"/>
      <c r="IMI15" s="260"/>
      <c r="IMJ15" s="260"/>
      <c r="IMK15" s="260"/>
      <c r="IML15" s="260"/>
      <c r="IMM15" s="260"/>
      <c r="IMN15" s="260"/>
      <c r="IMO15" s="260"/>
      <c r="IMP15" s="260"/>
      <c r="IMQ15" s="260"/>
      <c r="IMR15" s="260"/>
      <c r="IMS15" s="260"/>
      <c r="IMT15" s="260"/>
      <c r="IMU15" s="260"/>
      <c r="IMV15" s="260"/>
      <c r="IMW15" s="260"/>
      <c r="IMX15" s="260"/>
      <c r="IMY15" s="260"/>
      <c r="IMZ15" s="260"/>
      <c r="INA15" s="260"/>
      <c r="INB15" s="260"/>
      <c r="INC15" s="260"/>
      <c r="IND15" s="260"/>
      <c r="INE15" s="260"/>
      <c r="INF15" s="260"/>
      <c r="ING15" s="260"/>
      <c r="INH15" s="260"/>
      <c r="INI15" s="260"/>
      <c r="INJ15" s="260"/>
      <c r="INK15" s="260"/>
      <c r="INL15" s="260"/>
      <c r="INM15" s="260"/>
      <c r="INN15" s="260"/>
      <c r="INO15" s="260"/>
      <c r="INP15" s="260"/>
      <c r="INQ15" s="260"/>
      <c r="INR15" s="260"/>
      <c r="INS15" s="260"/>
      <c r="INT15" s="260"/>
      <c r="INU15" s="260"/>
      <c r="INV15" s="260"/>
      <c r="INW15" s="260"/>
      <c r="INX15" s="260"/>
      <c r="INY15" s="260"/>
      <c r="INZ15" s="260"/>
      <c r="IOA15" s="260"/>
      <c r="IOB15" s="260"/>
      <c r="IOC15" s="260"/>
      <c r="IOD15" s="260"/>
      <c r="IOE15" s="260"/>
      <c r="IOF15" s="260"/>
      <c r="IOG15" s="260"/>
      <c r="IOH15" s="260"/>
      <c r="IOI15" s="260"/>
      <c r="IOJ15" s="260"/>
      <c r="IOK15" s="260"/>
      <c r="IOL15" s="260"/>
      <c r="IOM15" s="260"/>
      <c r="ION15" s="260"/>
      <c r="IOO15" s="260"/>
      <c r="IOP15" s="260"/>
      <c r="IOQ15" s="260"/>
      <c r="IOR15" s="260"/>
      <c r="IOS15" s="260"/>
      <c r="IOT15" s="260"/>
      <c r="IOU15" s="260"/>
      <c r="IOV15" s="260"/>
      <c r="IOW15" s="260"/>
      <c r="IOX15" s="260"/>
      <c r="IOY15" s="260"/>
      <c r="IOZ15" s="260"/>
      <c r="IPA15" s="260"/>
      <c r="IPB15" s="260"/>
      <c r="IPC15" s="260"/>
      <c r="IPD15" s="260"/>
      <c r="IPE15" s="260"/>
      <c r="IPF15" s="260"/>
      <c r="IPG15" s="260"/>
      <c r="IPH15" s="260"/>
      <c r="IPI15" s="260"/>
      <c r="IPJ15" s="260"/>
      <c r="IPK15" s="260"/>
      <c r="IPL15" s="260"/>
      <c r="IPM15" s="260"/>
      <c r="IPN15" s="260"/>
      <c r="IPO15" s="260"/>
      <c r="IPP15" s="260"/>
      <c r="IPQ15" s="260"/>
      <c r="IPR15" s="260"/>
      <c r="IPS15" s="260"/>
      <c r="IPT15" s="260"/>
      <c r="IPU15" s="260"/>
      <c r="IPV15" s="260"/>
      <c r="IPW15" s="260"/>
      <c r="IPX15" s="260"/>
      <c r="IPY15" s="260"/>
      <c r="IPZ15" s="260"/>
      <c r="IQA15" s="260"/>
      <c r="IQB15" s="260"/>
      <c r="IQC15" s="260"/>
      <c r="IQD15" s="260"/>
      <c r="IQE15" s="260"/>
      <c r="IQF15" s="260"/>
      <c r="IQG15" s="260"/>
      <c r="IQH15" s="260"/>
      <c r="IQI15" s="260"/>
      <c r="IQJ15" s="260"/>
      <c r="IQK15" s="260"/>
      <c r="IQL15" s="260"/>
      <c r="IQM15" s="260"/>
      <c r="IQN15" s="260"/>
      <c r="IQO15" s="260"/>
      <c r="IQP15" s="260"/>
      <c r="IQQ15" s="260"/>
      <c r="IQR15" s="260"/>
      <c r="IQS15" s="260"/>
      <c r="IQT15" s="260"/>
      <c r="IQU15" s="260"/>
      <c r="IQV15" s="260"/>
      <c r="IQW15" s="260"/>
      <c r="IQX15" s="260"/>
      <c r="IQY15" s="260"/>
      <c r="IQZ15" s="260"/>
      <c r="IRA15" s="260"/>
      <c r="IRB15" s="260"/>
      <c r="IRC15" s="260"/>
      <c r="IRD15" s="260"/>
      <c r="IRE15" s="260"/>
      <c r="IRF15" s="260"/>
      <c r="IRG15" s="260"/>
      <c r="IRH15" s="260"/>
      <c r="IRI15" s="260"/>
      <c r="IRJ15" s="260"/>
      <c r="IRK15" s="260"/>
      <c r="IRL15" s="260"/>
      <c r="IRM15" s="260"/>
      <c r="IRN15" s="260"/>
      <c r="IRO15" s="260"/>
      <c r="IRP15" s="260"/>
      <c r="IRQ15" s="260"/>
      <c r="IRR15" s="260"/>
      <c r="IRS15" s="260"/>
      <c r="IRT15" s="260"/>
      <c r="IRU15" s="260"/>
      <c r="IRV15" s="260"/>
      <c r="IRW15" s="260"/>
      <c r="IRX15" s="260"/>
      <c r="IRY15" s="260"/>
      <c r="IRZ15" s="260"/>
      <c r="ISA15" s="260"/>
      <c r="ISB15" s="260"/>
      <c r="ISC15" s="260"/>
      <c r="ISD15" s="260"/>
      <c r="ISE15" s="260"/>
      <c r="ISF15" s="260"/>
      <c r="ISG15" s="260"/>
      <c r="ISH15" s="260"/>
      <c r="ISI15" s="260"/>
      <c r="ISJ15" s="260"/>
      <c r="ISK15" s="260"/>
      <c r="ISL15" s="260"/>
      <c r="ISM15" s="260"/>
      <c r="ISN15" s="260"/>
      <c r="ISO15" s="260"/>
      <c r="ISP15" s="260"/>
      <c r="ISQ15" s="260"/>
      <c r="ISR15" s="260"/>
      <c r="ISS15" s="260"/>
      <c r="IST15" s="260"/>
      <c r="ISU15" s="260"/>
      <c r="ISV15" s="260"/>
      <c r="ISW15" s="260"/>
      <c r="ISX15" s="260"/>
      <c r="ISY15" s="260"/>
      <c r="ISZ15" s="260"/>
      <c r="ITA15" s="260"/>
      <c r="ITB15" s="260"/>
      <c r="ITC15" s="260"/>
      <c r="ITD15" s="260"/>
      <c r="ITE15" s="260"/>
      <c r="ITF15" s="260"/>
      <c r="ITG15" s="260"/>
      <c r="ITH15" s="260"/>
      <c r="ITI15" s="260"/>
      <c r="ITJ15" s="260"/>
      <c r="ITK15" s="260"/>
      <c r="ITL15" s="260"/>
      <c r="ITM15" s="260"/>
      <c r="ITN15" s="260"/>
      <c r="ITO15" s="260"/>
      <c r="ITP15" s="260"/>
      <c r="ITQ15" s="260"/>
      <c r="ITR15" s="260"/>
      <c r="ITS15" s="260"/>
      <c r="ITT15" s="260"/>
      <c r="ITU15" s="260"/>
      <c r="ITV15" s="260"/>
      <c r="ITW15" s="260"/>
      <c r="ITX15" s="260"/>
      <c r="ITY15" s="260"/>
      <c r="ITZ15" s="260"/>
      <c r="IUA15" s="260"/>
      <c r="IUB15" s="260"/>
      <c r="IUC15" s="260"/>
      <c r="IUD15" s="260"/>
      <c r="IUE15" s="260"/>
      <c r="IUF15" s="260"/>
      <c r="IUG15" s="260"/>
      <c r="IUH15" s="260"/>
      <c r="IUI15" s="260"/>
      <c r="IUJ15" s="260"/>
      <c r="IUK15" s="260"/>
      <c r="IUL15" s="260"/>
      <c r="IUM15" s="260"/>
      <c r="IUN15" s="260"/>
      <c r="IUO15" s="260"/>
      <c r="IUP15" s="260"/>
      <c r="IUQ15" s="260"/>
      <c r="IUR15" s="260"/>
      <c r="IUS15" s="260"/>
      <c r="IUT15" s="260"/>
      <c r="IUU15" s="260"/>
      <c r="IUV15" s="260"/>
      <c r="IUW15" s="260"/>
      <c r="IUX15" s="260"/>
      <c r="IUY15" s="260"/>
      <c r="IUZ15" s="260"/>
      <c r="IVA15" s="260"/>
      <c r="IVB15" s="260"/>
      <c r="IVC15" s="260"/>
      <c r="IVD15" s="260"/>
      <c r="IVE15" s="260"/>
      <c r="IVF15" s="260"/>
      <c r="IVG15" s="260"/>
      <c r="IVH15" s="260"/>
      <c r="IVI15" s="260"/>
      <c r="IVJ15" s="260"/>
      <c r="IVK15" s="260"/>
      <c r="IVL15" s="260"/>
      <c r="IVM15" s="260"/>
      <c r="IVN15" s="260"/>
      <c r="IVO15" s="260"/>
      <c r="IVP15" s="260"/>
      <c r="IVQ15" s="260"/>
      <c r="IVR15" s="260"/>
      <c r="IVS15" s="260"/>
      <c r="IVT15" s="260"/>
      <c r="IVU15" s="260"/>
      <c r="IVV15" s="260"/>
      <c r="IVW15" s="260"/>
      <c r="IVX15" s="260"/>
      <c r="IVY15" s="260"/>
      <c r="IVZ15" s="260"/>
      <c r="IWA15" s="260"/>
      <c r="IWB15" s="260"/>
      <c r="IWC15" s="260"/>
      <c r="IWD15" s="260"/>
      <c r="IWE15" s="260"/>
      <c r="IWF15" s="260"/>
      <c r="IWG15" s="260"/>
      <c r="IWH15" s="260"/>
      <c r="IWI15" s="260"/>
      <c r="IWJ15" s="260"/>
      <c r="IWK15" s="260"/>
      <c r="IWL15" s="260"/>
      <c r="IWM15" s="260"/>
      <c r="IWN15" s="260"/>
      <c r="IWO15" s="260"/>
      <c r="IWP15" s="260"/>
      <c r="IWQ15" s="260"/>
      <c r="IWR15" s="260"/>
      <c r="IWS15" s="260"/>
      <c r="IWT15" s="260"/>
      <c r="IWU15" s="260"/>
      <c r="IWV15" s="260"/>
      <c r="IWW15" s="260"/>
      <c r="IWX15" s="260"/>
      <c r="IWY15" s="260"/>
      <c r="IWZ15" s="260"/>
      <c r="IXA15" s="260"/>
      <c r="IXB15" s="260"/>
      <c r="IXC15" s="260"/>
      <c r="IXD15" s="260"/>
      <c r="IXE15" s="260"/>
      <c r="IXF15" s="260"/>
      <c r="IXG15" s="260"/>
      <c r="IXH15" s="260"/>
      <c r="IXI15" s="260"/>
      <c r="IXJ15" s="260"/>
      <c r="IXK15" s="260"/>
      <c r="IXL15" s="260"/>
      <c r="IXM15" s="260"/>
      <c r="IXN15" s="260"/>
      <c r="IXO15" s="260"/>
      <c r="IXP15" s="260"/>
      <c r="IXQ15" s="260"/>
      <c r="IXR15" s="260"/>
      <c r="IXS15" s="260"/>
      <c r="IXT15" s="260"/>
      <c r="IXU15" s="260"/>
      <c r="IXV15" s="260"/>
      <c r="IXW15" s="260"/>
      <c r="IXX15" s="260"/>
      <c r="IXY15" s="260"/>
      <c r="IXZ15" s="260"/>
      <c r="IYA15" s="260"/>
      <c r="IYB15" s="260"/>
      <c r="IYC15" s="260"/>
      <c r="IYD15" s="260"/>
      <c r="IYE15" s="260"/>
      <c r="IYF15" s="260"/>
      <c r="IYG15" s="260"/>
      <c r="IYH15" s="260"/>
      <c r="IYI15" s="260"/>
      <c r="IYJ15" s="260"/>
      <c r="IYK15" s="260"/>
      <c r="IYL15" s="260"/>
      <c r="IYM15" s="260"/>
      <c r="IYN15" s="260"/>
      <c r="IYO15" s="260"/>
      <c r="IYP15" s="260"/>
      <c r="IYQ15" s="260"/>
      <c r="IYR15" s="260"/>
      <c r="IYS15" s="260"/>
      <c r="IYT15" s="260"/>
      <c r="IYU15" s="260"/>
      <c r="IYV15" s="260"/>
      <c r="IYW15" s="260"/>
      <c r="IYX15" s="260"/>
      <c r="IYY15" s="260"/>
      <c r="IYZ15" s="260"/>
      <c r="IZA15" s="260"/>
      <c r="IZB15" s="260"/>
      <c r="IZC15" s="260"/>
      <c r="IZD15" s="260"/>
      <c r="IZE15" s="260"/>
      <c r="IZF15" s="260"/>
      <c r="IZG15" s="260"/>
      <c r="IZH15" s="260"/>
      <c r="IZI15" s="260"/>
      <c r="IZJ15" s="260"/>
      <c r="IZK15" s="260"/>
      <c r="IZL15" s="260"/>
      <c r="IZM15" s="260"/>
      <c r="IZN15" s="260"/>
      <c r="IZO15" s="260"/>
      <c r="IZP15" s="260"/>
      <c r="IZQ15" s="260"/>
      <c r="IZR15" s="260"/>
      <c r="IZS15" s="260"/>
      <c r="IZT15" s="260"/>
      <c r="IZU15" s="260"/>
      <c r="IZV15" s="260"/>
      <c r="IZW15" s="260"/>
      <c r="IZX15" s="260"/>
      <c r="IZY15" s="260"/>
      <c r="IZZ15" s="260"/>
      <c r="JAA15" s="260"/>
      <c r="JAB15" s="260"/>
      <c r="JAC15" s="260"/>
      <c r="JAD15" s="260"/>
      <c r="JAE15" s="260"/>
      <c r="JAF15" s="260"/>
      <c r="JAG15" s="260"/>
      <c r="JAH15" s="260"/>
      <c r="JAI15" s="260"/>
      <c r="JAJ15" s="260"/>
      <c r="JAK15" s="260"/>
      <c r="JAL15" s="260"/>
      <c r="JAM15" s="260"/>
      <c r="JAN15" s="260"/>
      <c r="JAO15" s="260"/>
      <c r="JAP15" s="260"/>
      <c r="JAQ15" s="260"/>
      <c r="JAR15" s="260"/>
      <c r="JAS15" s="260"/>
      <c r="JAT15" s="260"/>
      <c r="JAU15" s="260"/>
      <c r="JAV15" s="260"/>
      <c r="JAW15" s="260"/>
      <c r="JAX15" s="260"/>
      <c r="JAY15" s="260"/>
      <c r="JAZ15" s="260"/>
      <c r="JBA15" s="260"/>
      <c r="JBB15" s="260"/>
      <c r="JBC15" s="260"/>
      <c r="JBD15" s="260"/>
      <c r="JBE15" s="260"/>
      <c r="JBF15" s="260"/>
      <c r="JBG15" s="260"/>
      <c r="JBH15" s="260"/>
      <c r="JBI15" s="260"/>
      <c r="JBJ15" s="260"/>
      <c r="JBK15" s="260"/>
      <c r="JBL15" s="260"/>
      <c r="JBM15" s="260"/>
      <c r="JBN15" s="260"/>
      <c r="JBO15" s="260"/>
      <c r="JBP15" s="260"/>
      <c r="JBQ15" s="260"/>
      <c r="JBR15" s="260"/>
      <c r="JBS15" s="260"/>
      <c r="JBT15" s="260"/>
      <c r="JBU15" s="260"/>
      <c r="JBV15" s="260"/>
      <c r="JBW15" s="260"/>
      <c r="JBX15" s="260"/>
      <c r="JBY15" s="260"/>
      <c r="JBZ15" s="260"/>
      <c r="JCA15" s="260"/>
      <c r="JCB15" s="260"/>
      <c r="JCC15" s="260"/>
      <c r="JCD15" s="260"/>
      <c r="JCE15" s="260"/>
      <c r="JCF15" s="260"/>
      <c r="JCG15" s="260"/>
      <c r="JCH15" s="260"/>
      <c r="JCI15" s="260"/>
      <c r="JCJ15" s="260"/>
      <c r="JCK15" s="260"/>
      <c r="JCL15" s="260"/>
      <c r="JCM15" s="260"/>
      <c r="JCN15" s="260"/>
      <c r="JCO15" s="260"/>
      <c r="JCP15" s="260"/>
      <c r="JCQ15" s="260"/>
      <c r="JCR15" s="260"/>
      <c r="JCS15" s="260"/>
      <c r="JCT15" s="260"/>
      <c r="JCU15" s="260"/>
      <c r="JCV15" s="260"/>
      <c r="JCW15" s="260"/>
      <c r="JCX15" s="260"/>
      <c r="JCY15" s="260"/>
      <c r="JCZ15" s="260"/>
      <c r="JDA15" s="260"/>
      <c r="JDB15" s="260"/>
      <c r="JDC15" s="260"/>
      <c r="JDD15" s="260"/>
      <c r="JDE15" s="260"/>
      <c r="JDF15" s="260"/>
      <c r="JDG15" s="260"/>
      <c r="JDH15" s="260"/>
      <c r="JDI15" s="260"/>
      <c r="JDJ15" s="260"/>
      <c r="JDK15" s="260"/>
      <c r="JDL15" s="260"/>
      <c r="JDM15" s="260"/>
      <c r="JDN15" s="260"/>
      <c r="JDO15" s="260"/>
      <c r="JDP15" s="260"/>
      <c r="JDQ15" s="260"/>
      <c r="JDR15" s="260"/>
      <c r="JDS15" s="260"/>
      <c r="JDT15" s="260"/>
      <c r="JDU15" s="260"/>
      <c r="JDV15" s="260"/>
      <c r="JDW15" s="260"/>
      <c r="JDX15" s="260"/>
      <c r="JDY15" s="260"/>
      <c r="JDZ15" s="260"/>
      <c r="JEA15" s="260"/>
      <c r="JEB15" s="260"/>
      <c r="JEC15" s="260"/>
      <c r="JED15" s="260"/>
      <c r="JEE15" s="260"/>
      <c r="JEF15" s="260"/>
      <c r="JEG15" s="260"/>
      <c r="JEH15" s="260"/>
      <c r="JEI15" s="260"/>
      <c r="JEJ15" s="260"/>
      <c r="JEK15" s="260"/>
      <c r="JEL15" s="260"/>
      <c r="JEM15" s="260"/>
      <c r="JEN15" s="260"/>
      <c r="JEO15" s="260"/>
      <c r="JEP15" s="260"/>
      <c r="JEQ15" s="260"/>
      <c r="JER15" s="260"/>
      <c r="JES15" s="260"/>
      <c r="JET15" s="260"/>
      <c r="JEU15" s="260"/>
      <c r="JEV15" s="260"/>
      <c r="JEW15" s="260"/>
      <c r="JEX15" s="260"/>
      <c r="JEY15" s="260"/>
      <c r="JEZ15" s="260"/>
      <c r="JFA15" s="260"/>
      <c r="JFB15" s="260"/>
      <c r="JFC15" s="260"/>
      <c r="JFD15" s="260"/>
      <c r="JFE15" s="260"/>
      <c r="JFF15" s="260"/>
      <c r="JFG15" s="260"/>
      <c r="JFH15" s="260"/>
      <c r="JFI15" s="260"/>
      <c r="JFJ15" s="260"/>
      <c r="JFK15" s="260"/>
      <c r="JFL15" s="260"/>
      <c r="JFM15" s="260"/>
      <c r="JFN15" s="260"/>
      <c r="JFO15" s="260"/>
      <c r="JFP15" s="260"/>
      <c r="JFQ15" s="260"/>
      <c r="JFR15" s="260"/>
      <c r="JFS15" s="260"/>
      <c r="JFT15" s="260"/>
      <c r="JFU15" s="260"/>
      <c r="JFV15" s="260"/>
      <c r="JFW15" s="260"/>
      <c r="JFX15" s="260"/>
      <c r="JFY15" s="260"/>
      <c r="JFZ15" s="260"/>
      <c r="JGA15" s="260"/>
      <c r="JGB15" s="260"/>
      <c r="JGC15" s="260"/>
      <c r="JGD15" s="260"/>
      <c r="JGE15" s="260"/>
      <c r="JGF15" s="260"/>
      <c r="JGG15" s="260"/>
      <c r="JGH15" s="260"/>
      <c r="JGI15" s="260"/>
      <c r="JGJ15" s="260"/>
      <c r="JGK15" s="260"/>
      <c r="JGL15" s="260"/>
      <c r="JGM15" s="260"/>
      <c r="JGN15" s="260"/>
      <c r="JGO15" s="260"/>
      <c r="JGP15" s="260"/>
      <c r="JGQ15" s="260"/>
      <c r="JGR15" s="260"/>
      <c r="JGS15" s="260"/>
      <c r="JGT15" s="260"/>
      <c r="JGU15" s="260"/>
      <c r="JGV15" s="260"/>
      <c r="JGW15" s="260"/>
      <c r="JGX15" s="260"/>
      <c r="JGY15" s="260"/>
      <c r="JGZ15" s="260"/>
      <c r="JHA15" s="260"/>
      <c r="JHB15" s="260"/>
      <c r="JHC15" s="260"/>
      <c r="JHD15" s="260"/>
      <c r="JHE15" s="260"/>
      <c r="JHF15" s="260"/>
      <c r="JHG15" s="260"/>
      <c r="JHH15" s="260"/>
      <c r="JHI15" s="260"/>
      <c r="JHJ15" s="260"/>
      <c r="JHK15" s="260"/>
      <c r="JHL15" s="260"/>
      <c r="JHM15" s="260"/>
      <c r="JHN15" s="260"/>
      <c r="JHO15" s="260"/>
      <c r="JHP15" s="260"/>
      <c r="JHQ15" s="260"/>
      <c r="JHR15" s="260"/>
      <c r="JHS15" s="260"/>
      <c r="JHT15" s="260"/>
      <c r="JHU15" s="260"/>
      <c r="JHV15" s="260"/>
      <c r="JHW15" s="260"/>
      <c r="JHX15" s="260"/>
      <c r="JHY15" s="260"/>
      <c r="JHZ15" s="260"/>
      <c r="JIA15" s="260"/>
      <c r="JIB15" s="260"/>
      <c r="JIC15" s="260"/>
      <c r="JID15" s="260"/>
      <c r="JIE15" s="260"/>
      <c r="JIF15" s="260"/>
      <c r="JIG15" s="260"/>
      <c r="JIH15" s="260"/>
      <c r="JII15" s="260"/>
      <c r="JIJ15" s="260"/>
      <c r="JIK15" s="260"/>
      <c r="JIL15" s="260"/>
      <c r="JIM15" s="260"/>
      <c r="JIN15" s="260"/>
      <c r="JIO15" s="260"/>
      <c r="JIP15" s="260"/>
      <c r="JIQ15" s="260"/>
      <c r="JIR15" s="260"/>
      <c r="JIS15" s="260"/>
      <c r="JIT15" s="260"/>
      <c r="JIU15" s="260"/>
      <c r="JIV15" s="260"/>
      <c r="JIW15" s="260"/>
      <c r="JIX15" s="260"/>
      <c r="JIY15" s="260"/>
      <c r="JIZ15" s="260"/>
      <c r="JJA15" s="260"/>
      <c r="JJB15" s="260"/>
      <c r="JJC15" s="260"/>
      <c r="JJD15" s="260"/>
      <c r="JJE15" s="260"/>
      <c r="JJF15" s="260"/>
      <c r="JJG15" s="260"/>
      <c r="JJH15" s="260"/>
      <c r="JJI15" s="260"/>
      <c r="JJJ15" s="260"/>
      <c r="JJK15" s="260"/>
      <c r="JJL15" s="260"/>
      <c r="JJM15" s="260"/>
      <c r="JJN15" s="260"/>
      <c r="JJO15" s="260"/>
      <c r="JJP15" s="260"/>
      <c r="JJQ15" s="260"/>
      <c r="JJR15" s="260"/>
      <c r="JJS15" s="260"/>
      <c r="JJT15" s="260"/>
      <c r="JJU15" s="260"/>
      <c r="JJV15" s="260"/>
      <c r="JJW15" s="260"/>
      <c r="JJX15" s="260"/>
      <c r="JJY15" s="260"/>
      <c r="JJZ15" s="260"/>
      <c r="JKA15" s="260"/>
      <c r="JKB15" s="260"/>
      <c r="JKC15" s="260"/>
      <c r="JKD15" s="260"/>
      <c r="JKE15" s="260"/>
      <c r="JKF15" s="260"/>
      <c r="JKG15" s="260"/>
      <c r="JKH15" s="260"/>
      <c r="JKI15" s="260"/>
      <c r="JKJ15" s="260"/>
      <c r="JKK15" s="260"/>
      <c r="JKL15" s="260"/>
      <c r="JKM15" s="260"/>
      <c r="JKN15" s="260"/>
      <c r="JKO15" s="260"/>
      <c r="JKP15" s="260"/>
      <c r="JKQ15" s="260"/>
      <c r="JKR15" s="260"/>
      <c r="JKS15" s="260"/>
      <c r="JKT15" s="260"/>
      <c r="JKU15" s="260"/>
      <c r="JKV15" s="260"/>
      <c r="JKW15" s="260"/>
      <c r="JKX15" s="260"/>
      <c r="JKY15" s="260"/>
      <c r="JKZ15" s="260"/>
      <c r="JLA15" s="260"/>
      <c r="JLB15" s="260"/>
      <c r="JLC15" s="260"/>
      <c r="JLD15" s="260"/>
      <c r="JLE15" s="260"/>
      <c r="JLF15" s="260"/>
      <c r="JLG15" s="260"/>
      <c r="JLH15" s="260"/>
      <c r="JLI15" s="260"/>
      <c r="JLJ15" s="260"/>
      <c r="JLK15" s="260"/>
      <c r="JLL15" s="260"/>
      <c r="JLM15" s="260"/>
      <c r="JLN15" s="260"/>
      <c r="JLO15" s="260"/>
      <c r="JLP15" s="260"/>
      <c r="JLQ15" s="260"/>
      <c r="JLR15" s="260"/>
      <c r="JLS15" s="260"/>
      <c r="JLT15" s="260"/>
      <c r="JLU15" s="260"/>
      <c r="JLV15" s="260"/>
      <c r="JLW15" s="260"/>
      <c r="JLX15" s="260"/>
      <c r="JLY15" s="260"/>
      <c r="JLZ15" s="260"/>
      <c r="JMA15" s="260"/>
      <c r="JMB15" s="260"/>
      <c r="JMC15" s="260"/>
      <c r="JMD15" s="260"/>
      <c r="JME15" s="260"/>
      <c r="JMF15" s="260"/>
      <c r="JMG15" s="260"/>
      <c r="JMH15" s="260"/>
      <c r="JMI15" s="260"/>
      <c r="JMJ15" s="260"/>
      <c r="JMK15" s="260"/>
      <c r="JML15" s="260"/>
      <c r="JMM15" s="260"/>
      <c r="JMN15" s="260"/>
      <c r="JMO15" s="260"/>
      <c r="JMP15" s="260"/>
      <c r="JMQ15" s="260"/>
      <c r="JMR15" s="260"/>
      <c r="JMS15" s="260"/>
      <c r="JMT15" s="260"/>
      <c r="JMU15" s="260"/>
      <c r="JMV15" s="260"/>
      <c r="JMW15" s="260"/>
      <c r="JMX15" s="260"/>
      <c r="JMY15" s="260"/>
      <c r="JMZ15" s="260"/>
      <c r="JNA15" s="260"/>
      <c r="JNB15" s="260"/>
      <c r="JNC15" s="260"/>
      <c r="JND15" s="260"/>
      <c r="JNE15" s="260"/>
      <c r="JNF15" s="260"/>
      <c r="JNG15" s="260"/>
      <c r="JNH15" s="260"/>
      <c r="JNI15" s="260"/>
      <c r="JNJ15" s="260"/>
      <c r="JNK15" s="260"/>
      <c r="JNL15" s="260"/>
      <c r="JNM15" s="260"/>
      <c r="JNN15" s="260"/>
      <c r="JNO15" s="260"/>
      <c r="JNP15" s="260"/>
      <c r="JNQ15" s="260"/>
      <c r="JNR15" s="260"/>
      <c r="JNS15" s="260"/>
      <c r="JNT15" s="260"/>
      <c r="JNU15" s="260"/>
      <c r="JNV15" s="260"/>
      <c r="JNW15" s="260"/>
      <c r="JNX15" s="260"/>
      <c r="JNY15" s="260"/>
      <c r="JNZ15" s="260"/>
      <c r="JOA15" s="260"/>
      <c r="JOB15" s="260"/>
      <c r="JOC15" s="260"/>
      <c r="JOD15" s="260"/>
      <c r="JOE15" s="260"/>
      <c r="JOF15" s="260"/>
      <c r="JOG15" s="260"/>
      <c r="JOH15" s="260"/>
      <c r="JOI15" s="260"/>
      <c r="JOJ15" s="260"/>
      <c r="JOK15" s="260"/>
      <c r="JOL15" s="260"/>
      <c r="JOM15" s="260"/>
      <c r="JON15" s="260"/>
      <c r="JOO15" s="260"/>
      <c r="JOP15" s="260"/>
      <c r="JOQ15" s="260"/>
      <c r="JOR15" s="260"/>
      <c r="JOS15" s="260"/>
      <c r="JOT15" s="260"/>
      <c r="JOU15" s="260"/>
      <c r="JOV15" s="260"/>
      <c r="JOW15" s="260"/>
      <c r="JOX15" s="260"/>
      <c r="JOY15" s="260"/>
      <c r="JOZ15" s="260"/>
      <c r="JPA15" s="260"/>
      <c r="JPB15" s="260"/>
      <c r="JPC15" s="260"/>
      <c r="JPD15" s="260"/>
      <c r="JPE15" s="260"/>
      <c r="JPF15" s="260"/>
      <c r="JPG15" s="260"/>
      <c r="JPH15" s="260"/>
      <c r="JPI15" s="260"/>
      <c r="JPJ15" s="260"/>
      <c r="JPK15" s="260"/>
      <c r="JPL15" s="260"/>
      <c r="JPM15" s="260"/>
      <c r="JPN15" s="260"/>
      <c r="JPO15" s="260"/>
      <c r="JPP15" s="260"/>
      <c r="JPQ15" s="260"/>
      <c r="JPR15" s="260"/>
      <c r="JPS15" s="260"/>
      <c r="JPT15" s="260"/>
      <c r="JPU15" s="260"/>
      <c r="JPV15" s="260"/>
      <c r="JPW15" s="260"/>
      <c r="JPX15" s="260"/>
      <c r="JPY15" s="260"/>
      <c r="JPZ15" s="260"/>
      <c r="JQA15" s="260"/>
      <c r="JQB15" s="260"/>
      <c r="JQC15" s="260"/>
      <c r="JQD15" s="260"/>
      <c r="JQE15" s="260"/>
      <c r="JQF15" s="260"/>
      <c r="JQG15" s="260"/>
      <c r="JQH15" s="260"/>
      <c r="JQI15" s="260"/>
      <c r="JQJ15" s="260"/>
      <c r="JQK15" s="260"/>
      <c r="JQL15" s="260"/>
      <c r="JQM15" s="260"/>
      <c r="JQN15" s="260"/>
      <c r="JQO15" s="260"/>
      <c r="JQP15" s="260"/>
      <c r="JQQ15" s="260"/>
      <c r="JQR15" s="260"/>
      <c r="JQS15" s="260"/>
      <c r="JQT15" s="260"/>
      <c r="JQU15" s="260"/>
      <c r="JQV15" s="260"/>
      <c r="JQW15" s="260"/>
      <c r="JQX15" s="260"/>
      <c r="JQY15" s="260"/>
      <c r="JQZ15" s="260"/>
      <c r="JRA15" s="260"/>
      <c r="JRB15" s="260"/>
      <c r="JRC15" s="260"/>
      <c r="JRD15" s="260"/>
      <c r="JRE15" s="260"/>
      <c r="JRF15" s="260"/>
      <c r="JRG15" s="260"/>
      <c r="JRH15" s="260"/>
      <c r="JRI15" s="260"/>
      <c r="JRJ15" s="260"/>
      <c r="JRK15" s="260"/>
      <c r="JRL15" s="260"/>
      <c r="JRM15" s="260"/>
      <c r="JRN15" s="260"/>
      <c r="JRO15" s="260"/>
      <c r="JRP15" s="260"/>
      <c r="JRQ15" s="260"/>
      <c r="JRR15" s="260"/>
      <c r="JRS15" s="260"/>
      <c r="JRT15" s="260"/>
      <c r="JRU15" s="260"/>
      <c r="JRV15" s="260"/>
      <c r="JRW15" s="260"/>
      <c r="JRX15" s="260"/>
      <c r="JRY15" s="260"/>
      <c r="JRZ15" s="260"/>
      <c r="JSA15" s="260"/>
      <c r="JSB15" s="260"/>
      <c r="JSC15" s="260"/>
      <c r="JSD15" s="260"/>
      <c r="JSE15" s="260"/>
      <c r="JSF15" s="260"/>
      <c r="JSG15" s="260"/>
      <c r="JSH15" s="260"/>
      <c r="JSI15" s="260"/>
      <c r="JSJ15" s="260"/>
      <c r="JSK15" s="260"/>
      <c r="JSL15" s="260"/>
      <c r="JSM15" s="260"/>
      <c r="JSN15" s="260"/>
      <c r="JSO15" s="260"/>
      <c r="JSP15" s="260"/>
      <c r="JSQ15" s="260"/>
      <c r="JSR15" s="260"/>
      <c r="JSS15" s="260"/>
      <c r="JST15" s="260"/>
      <c r="JSU15" s="260"/>
      <c r="JSV15" s="260"/>
      <c r="JSW15" s="260"/>
      <c r="JSX15" s="260"/>
      <c r="JSY15" s="260"/>
      <c r="JSZ15" s="260"/>
      <c r="JTA15" s="260"/>
      <c r="JTB15" s="260"/>
      <c r="JTC15" s="260"/>
      <c r="JTD15" s="260"/>
      <c r="JTE15" s="260"/>
      <c r="JTF15" s="260"/>
      <c r="JTG15" s="260"/>
      <c r="JTH15" s="260"/>
      <c r="JTI15" s="260"/>
      <c r="JTJ15" s="260"/>
      <c r="JTK15" s="260"/>
      <c r="JTL15" s="260"/>
      <c r="JTM15" s="260"/>
      <c r="JTN15" s="260"/>
      <c r="JTO15" s="260"/>
      <c r="JTP15" s="260"/>
      <c r="JTQ15" s="260"/>
      <c r="JTR15" s="260"/>
      <c r="JTS15" s="260"/>
      <c r="JTT15" s="260"/>
      <c r="JTU15" s="260"/>
      <c r="JTV15" s="260"/>
      <c r="JTW15" s="260"/>
      <c r="JTX15" s="260"/>
      <c r="JTY15" s="260"/>
      <c r="JTZ15" s="260"/>
      <c r="JUA15" s="260"/>
      <c r="JUB15" s="260"/>
      <c r="JUC15" s="260"/>
      <c r="JUD15" s="260"/>
      <c r="JUE15" s="260"/>
      <c r="JUF15" s="260"/>
      <c r="JUG15" s="260"/>
      <c r="JUH15" s="260"/>
      <c r="JUI15" s="260"/>
      <c r="JUJ15" s="260"/>
      <c r="JUK15" s="260"/>
      <c r="JUL15" s="260"/>
      <c r="JUM15" s="260"/>
      <c r="JUN15" s="260"/>
      <c r="JUO15" s="260"/>
      <c r="JUP15" s="260"/>
      <c r="JUQ15" s="260"/>
      <c r="JUR15" s="260"/>
      <c r="JUS15" s="260"/>
      <c r="JUT15" s="260"/>
      <c r="JUU15" s="260"/>
      <c r="JUV15" s="260"/>
      <c r="JUW15" s="260"/>
      <c r="JUX15" s="260"/>
      <c r="JUY15" s="260"/>
      <c r="JUZ15" s="260"/>
      <c r="JVA15" s="260"/>
      <c r="JVB15" s="260"/>
      <c r="JVC15" s="260"/>
      <c r="JVD15" s="260"/>
      <c r="JVE15" s="260"/>
      <c r="JVF15" s="260"/>
      <c r="JVG15" s="260"/>
      <c r="JVH15" s="260"/>
      <c r="JVI15" s="260"/>
      <c r="JVJ15" s="260"/>
      <c r="JVK15" s="260"/>
      <c r="JVL15" s="260"/>
      <c r="JVM15" s="260"/>
      <c r="JVN15" s="260"/>
      <c r="JVO15" s="260"/>
      <c r="JVP15" s="260"/>
      <c r="JVQ15" s="260"/>
      <c r="JVR15" s="260"/>
      <c r="JVS15" s="260"/>
      <c r="JVT15" s="260"/>
      <c r="JVU15" s="260"/>
      <c r="JVV15" s="260"/>
      <c r="JVW15" s="260"/>
      <c r="JVX15" s="260"/>
      <c r="JVY15" s="260"/>
      <c r="JVZ15" s="260"/>
      <c r="JWA15" s="260"/>
      <c r="JWB15" s="260"/>
      <c r="JWC15" s="260"/>
      <c r="JWD15" s="260"/>
      <c r="JWE15" s="260"/>
      <c r="JWF15" s="260"/>
      <c r="JWG15" s="260"/>
      <c r="JWH15" s="260"/>
      <c r="JWI15" s="260"/>
      <c r="JWJ15" s="260"/>
      <c r="JWK15" s="260"/>
      <c r="JWL15" s="260"/>
      <c r="JWM15" s="260"/>
      <c r="JWN15" s="260"/>
      <c r="JWO15" s="260"/>
      <c r="JWP15" s="260"/>
      <c r="JWQ15" s="260"/>
      <c r="JWR15" s="260"/>
      <c r="JWS15" s="260"/>
      <c r="JWT15" s="260"/>
      <c r="JWU15" s="260"/>
      <c r="JWV15" s="260"/>
      <c r="JWW15" s="260"/>
      <c r="JWX15" s="260"/>
      <c r="JWY15" s="260"/>
      <c r="JWZ15" s="260"/>
      <c r="JXA15" s="260"/>
      <c r="JXB15" s="260"/>
      <c r="JXC15" s="260"/>
      <c r="JXD15" s="260"/>
      <c r="JXE15" s="260"/>
      <c r="JXF15" s="260"/>
      <c r="JXG15" s="260"/>
      <c r="JXH15" s="260"/>
      <c r="JXI15" s="260"/>
      <c r="JXJ15" s="260"/>
      <c r="JXK15" s="260"/>
      <c r="JXL15" s="260"/>
      <c r="JXM15" s="260"/>
      <c r="JXN15" s="260"/>
      <c r="JXO15" s="260"/>
      <c r="JXP15" s="260"/>
      <c r="JXQ15" s="260"/>
      <c r="JXR15" s="260"/>
      <c r="JXS15" s="260"/>
      <c r="JXT15" s="260"/>
      <c r="JXU15" s="260"/>
      <c r="JXV15" s="260"/>
      <c r="JXW15" s="260"/>
      <c r="JXX15" s="260"/>
      <c r="JXY15" s="260"/>
      <c r="JXZ15" s="260"/>
      <c r="JYA15" s="260"/>
      <c r="JYB15" s="260"/>
      <c r="JYC15" s="260"/>
      <c r="JYD15" s="260"/>
      <c r="JYE15" s="260"/>
      <c r="JYF15" s="260"/>
      <c r="JYG15" s="260"/>
      <c r="JYH15" s="260"/>
      <c r="JYI15" s="260"/>
      <c r="JYJ15" s="260"/>
      <c r="JYK15" s="260"/>
      <c r="JYL15" s="260"/>
      <c r="JYM15" s="260"/>
      <c r="JYN15" s="260"/>
      <c r="JYO15" s="260"/>
      <c r="JYP15" s="260"/>
      <c r="JYQ15" s="260"/>
      <c r="JYR15" s="260"/>
      <c r="JYS15" s="260"/>
      <c r="JYT15" s="260"/>
      <c r="JYU15" s="260"/>
      <c r="JYV15" s="260"/>
      <c r="JYW15" s="260"/>
      <c r="JYX15" s="260"/>
      <c r="JYY15" s="260"/>
      <c r="JYZ15" s="260"/>
      <c r="JZA15" s="260"/>
      <c r="JZB15" s="260"/>
      <c r="JZC15" s="260"/>
      <c r="JZD15" s="260"/>
      <c r="JZE15" s="260"/>
      <c r="JZF15" s="260"/>
      <c r="JZG15" s="260"/>
      <c r="JZH15" s="260"/>
      <c r="JZI15" s="260"/>
      <c r="JZJ15" s="260"/>
      <c r="JZK15" s="260"/>
      <c r="JZL15" s="260"/>
      <c r="JZM15" s="260"/>
      <c r="JZN15" s="260"/>
      <c r="JZO15" s="260"/>
      <c r="JZP15" s="260"/>
      <c r="JZQ15" s="260"/>
      <c r="JZR15" s="260"/>
      <c r="JZS15" s="260"/>
      <c r="JZT15" s="260"/>
      <c r="JZU15" s="260"/>
      <c r="JZV15" s="260"/>
      <c r="JZW15" s="260"/>
      <c r="JZX15" s="260"/>
      <c r="JZY15" s="260"/>
      <c r="JZZ15" s="260"/>
      <c r="KAA15" s="260"/>
      <c r="KAB15" s="260"/>
      <c r="KAC15" s="260"/>
      <c r="KAD15" s="260"/>
      <c r="KAE15" s="260"/>
      <c r="KAF15" s="260"/>
      <c r="KAG15" s="260"/>
      <c r="KAH15" s="260"/>
      <c r="KAI15" s="260"/>
      <c r="KAJ15" s="260"/>
      <c r="KAK15" s="260"/>
      <c r="KAL15" s="260"/>
      <c r="KAM15" s="260"/>
      <c r="KAN15" s="260"/>
      <c r="KAO15" s="260"/>
      <c r="KAP15" s="260"/>
      <c r="KAQ15" s="260"/>
      <c r="KAR15" s="260"/>
      <c r="KAS15" s="260"/>
      <c r="KAT15" s="260"/>
      <c r="KAU15" s="260"/>
      <c r="KAV15" s="260"/>
      <c r="KAW15" s="260"/>
      <c r="KAX15" s="260"/>
      <c r="KAY15" s="260"/>
      <c r="KAZ15" s="260"/>
      <c r="KBA15" s="260"/>
      <c r="KBB15" s="260"/>
      <c r="KBC15" s="260"/>
      <c r="KBD15" s="260"/>
      <c r="KBE15" s="260"/>
      <c r="KBF15" s="260"/>
      <c r="KBG15" s="260"/>
      <c r="KBH15" s="260"/>
      <c r="KBI15" s="260"/>
      <c r="KBJ15" s="260"/>
      <c r="KBK15" s="260"/>
      <c r="KBL15" s="260"/>
      <c r="KBM15" s="260"/>
      <c r="KBN15" s="260"/>
      <c r="KBO15" s="260"/>
      <c r="KBP15" s="260"/>
      <c r="KBQ15" s="260"/>
      <c r="KBR15" s="260"/>
      <c r="KBS15" s="260"/>
      <c r="KBT15" s="260"/>
      <c r="KBU15" s="260"/>
      <c r="KBV15" s="260"/>
      <c r="KBW15" s="260"/>
      <c r="KBX15" s="260"/>
      <c r="KBY15" s="260"/>
      <c r="KBZ15" s="260"/>
      <c r="KCA15" s="260"/>
      <c r="KCB15" s="260"/>
      <c r="KCC15" s="260"/>
      <c r="KCD15" s="260"/>
      <c r="KCE15" s="260"/>
      <c r="KCF15" s="260"/>
      <c r="KCG15" s="260"/>
      <c r="KCH15" s="260"/>
      <c r="KCI15" s="260"/>
      <c r="KCJ15" s="260"/>
      <c r="KCK15" s="260"/>
      <c r="KCL15" s="260"/>
      <c r="KCM15" s="260"/>
      <c r="KCN15" s="260"/>
      <c r="KCO15" s="260"/>
      <c r="KCP15" s="260"/>
      <c r="KCQ15" s="260"/>
      <c r="KCR15" s="260"/>
      <c r="KCS15" s="260"/>
      <c r="KCT15" s="260"/>
      <c r="KCU15" s="260"/>
      <c r="KCV15" s="260"/>
      <c r="KCW15" s="260"/>
      <c r="KCX15" s="260"/>
      <c r="KCY15" s="260"/>
      <c r="KCZ15" s="260"/>
      <c r="KDA15" s="260"/>
      <c r="KDB15" s="260"/>
      <c r="KDC15" s="260"/>
      <c r="KDD15" s="260"/>
      <c r="KDE15" s="260"/>
      <c r="KDF15" s="260"/>
      <c r="KDG15" s="260"/>
      <c r="KDH15" s="260"/>
      <c r="KDI15" s="260"/>
      <c r="KDJ15" s="260"/>
      <c r="KDK15" s="260"/>
      <c r="KDL15" s="260"/>
      <c r="KDM15" s="260"/>
      <c r="KDN15" s="260"/>
      <c r="KDO15" s="260"/>
      <c r="KDP15" s="260"/>
      <c r="KDQ15" s="260"/>
      <c r="KDR15" s="260"/>
      <c r="KDS15" s="260"/>
      <c r="KDT15" s="260"/>
      <c r="KDU15" s="260"/>
      <c r="KDV15" s="260"/>
      <c r="KDW15" s="260"/>
      <c r="KDX15" s="260"/>
      <c r="KDY15" s="260"/>
      <c r="KDZ15" s="260"/>
      <c r="KEA15" s="260"/>
      <c r="KEB15" s="260"/>
      <c r="KEC15" s="260"/>
      <c r="KED15" s="260"/>
      <c r="KEE15" s="260"/>
      <c r="KEF15" s="260"/>
      <c r="KEG15" s="260"/>
      <c r="KEH15" s="260"/>
      <c r="KEI15" s="260"/>
      <c r="KEJ15" s="260"/>
      <c r="KEK15" s="260"/>
      <c r="KEL15" s="260"/>
      <c r="KEM15" s="260"/>
      <c r="KEN15" s="260"/>
      <c r="KEO15" s="260"/>
      <c r="KEP15" s="260"/>
      <c r="KEQ15" s="260"/>
      <c r="KER15" s="260"/>
      <c r="KES15" s="260"/>
      <c r="KET15" s="260"/>
      <c r="KEU15" s="260"/>
      <c r="KEV15" s="260"/>
      <c r="KEW15" s="260"/>
      <c r="KEX15" s="260"/>
      <c r="KEY15" s="260"/>
      <c r="KEZ15" s="260"/>
      <c r="KFA15" s="260"/>
      <c r="KFB15" s="260"/>
      <c r="KFC15" s="260"/>
      <c r="KFD15" s="260"/>
      <c r="KFE15" s="260"/>
      <c r="KFF15" s="260"/>
      <c r="KFG15" s="260"/>
      <c r="KFH15" s="260"/>
      <c r="KFI15" s="260"/>
      <c r="KFJ15" s="260"/>
      <c r="KFK15" s="260"/>
      <c r="KFL15" s="260"/>
      <c r="KFM15" s="260"/>
      <c r="KFN15" s="260"/>
      <c r="KFO15" s="260"/>
      <c r="KFP15" s="260"/>
      <c r="KFQ15" s="260"/>
      <c r="KFR15" s="260"/>
      <c r="KFS15" s="260"/>
      <c r="KFT15" s="260"/>
      <c r="KFU15" s="260"/>
      <c r="KFV15" s="260"/>
      <c r="KFW15" s="260"/>
      <c r="KFX15" s="260"/>
      <c r="KFY15" s="260"/>
      <c r="KFZ15" s="260"/>
      <c r="KGA15" s="260"/>
      <c r="KGB15" s="260"/>
      <c r="KGC15" s="260"/>
      <c r="KGD15" s="260"/>
      <c r="KGE15" s="260"/>
      <c r="KGF15" s="260"/>
      <c r="KGG15" s="260"/>
      <c r="KGH15" s="260"/>
      <c r="KGI15" s="260"/>
      <c r="KGJ15" s="260"/>
      <c r="KGK15" s="260"/>
      <c r="KGL15" s="260"/>
      <c r="KGM15" s="260"/>
      <c r="KGN15" s="260"/>
      <c r="KGO15" s="260"/>
      <c r="KGP15" s="260"/>
      <c r="KGQ15" s="260"/>
      <c r="KGR15" s="260"/>
      <c r="KGS15" s="260"/>
      <c r="KGT15" s="260"/>
      <c r="KGU15" s="260"/>
      <c r="KGV15" s="260"/>
      <c r="KGW15" s="260"/>
      <c r="KGX15" s="260"/>
      <c r="KGY15" s="260"/>
      <c r="KGZ15" s="260"/>
      <c r="KHA15" s="260"/>
      <c r="KHB15" s="260"/>
      <c r="KHC15" s="260"/>
      <c r="KHD15" s="260"/>
      <c r="KHE15" s="260"/>
      <c r="KHF15" s="260"/>
      <c r="KHG15" s="260"/>
      <c r="KHH15" s="260"/>
      <c r="KHI15" s="260"/>
      <c r="KHJ15" s="260"/>
      <c r="KHK15" s="260"/>
      <c r="KHL15" s="260"/>
      <c r="KHM15" s="260"/>
      <c r="KHN15" s="260"/>
      <c r="KHO15" s="260"/>
      <c r="KHP15" s="260"/>
      <c r="KHQ15" s="260"/>
      <c r="KHR15" s="260"/>
      <c r="KHS15" s="260"/>
      <c r="KHT15" s="260"/>
      <c r="KHU15" s="260"/>
      <c r="KHV15" s="260"/>
      <c r="KHW15" s="260"/>
      <c r="KHX15" s="260"/>
      <c r="KHY15" s="260"/>
      <c r="KHZ15" s="260"/>
      <c r="KIA15" s="260"/>
      <c r="KIB15" s="260"/>
      <c r="KIC15" s="260"/>
      <c r="KID15" s="260"/>
      <c r="KIE15" s="260"/>
      <c r="KIF15" s="260"/>
      <c r="KIG15" s="260"/>
      <c r="KIH15" s="260"/>
      <c r="KII15" s="260"/>
      <c r="KIJ15" s="260"/>
      <c r="KIK15" s="260"/>
      <c r="KIL15" s="260"/>
      <c r="KIM15" s="260"/>
      <c r="KIN15" s="260"/>
      <c r="KIO15" s="260"/>
      <c r="KIP15" s="260"/>
      <c r="KIQ15" s="260"/>
      <c r="KIR15" s="260"/>
      <c r="KIS15" s="260"/>
      <c r="KIT15" s="260"/>
      <c r="KIU15" s="260"/>
      <c r="KIV15" s="260"/>
      <c r="KIW15" s="260"/>
      <c r="KIX15" s="260"/>
      <c r="KIY15" s="260"/>
      <c r="KIZ15" s="260"/>
      <c r="KJA15" s="260"/>
      <c r="KJB15" s="260"/>
      <c r="KJC15" s="260"/>
      <c r="KJD15" s="260"/>
      <c r="KJE15" s="260"/>
      <c r="KJF15" s="260"/>
      <c r="KJG15" s="260"/>
      <c r="KJH15" s="260"/>
      <c r="KJI15" s="260"/>
      <c r="KJJ15" s="260"/>
      <c r="KJK15" s="260"/>
      <c r="KJL15" s="260"/>
      <c r="KJM15" s="260"/>
      <c r="KJN15" s="260"/>
      <c r="KJO15" s="260"/>
      <c r="KJP15" s="260"/>
      <c r="KJQ15" s="260"/>
      <c r="KJR15" s="260"/>
      <c r="KJS15" s="260"/>
      <c r="KJT15" s="260"/>
      <c r="KJU15" s="260"/>
      <c r="KJV15" s="260"/>
      <c r="KJW15" s="260"/>
      <c r="KJX15" s="260"/>
      <c r="KJY15" s="260"/>
      <c r="KJZ15" s="260"/>
      <c r="KKA15" s="260"/>
      <c r="KKB15" s="260"/>
      <c r="KKC15" s="260"/>
      <c r="KKD15" s="260"/>
      <c r="KKE15" s="260"/>
      <c r="KKF15" s="260"/>
      <c r="KKG15" s="260"/>
      <c r="KKH15" s="260"/>
      <c r="KKI15" s="260"/>
      <c r="KKJ15" s="260"/>
      <c r="KKK15" s="260"/>
      <c r="KKL15" s="260"/>
      <c r="KKM15" s="260"/>
      <c r="KKN15" s="260"/>
      <c r="KKO15" s="260"/>
      <c r="KKP15" s="260"/>
      <c r="KKQ15" s="260"/>
      <c r="KKR15" s="260"/>
      <c r="KKS15" s="260"/>
      <c r="KKT15" s="260"/>
      <c r="KKU15" s="260"/>
      <c r="KKV15" s="260"/>
      <c r="KKW15" s="260"/>
      <c r="KKX15" s="260"/>
      <c r="KKY15" s="260"/>
      <c r="KKZ15" s="260"/>
      <c r="KLA15" s="260"/>
      <c r="KLB15" s="260"/>
      <c r="KLC15" s="260"/>
      <c r="KLD15" s="260"/>
      <c r="KLE15" s="260"/>
      <c r="KLF15" s="260"/>
      <c r="KLG15" s="260"/>
      <c r="KLH15" s="260"/>
      <c r="KLI15" s="260"/>
      <c r="KLJ15" s="260"/>
      <c r="KLK15" s="260"/>
      <c r="KLL15" s="260"/>
      <c r="KLM15" s="260"/>
      <c r="KLN15" s="260"/>
      <c r="KLO15" s="260"/>
      <c r="KLP15" s="260"/>
      <c r="KLQ15" s="260"/>
      <c r="KLR15" s="260"/>
      <c r="KLS15" s="260"/>
      <c r="KLT15" s="260"/>
      <c r="KLU15" s="260"/>
      <c r="KLV15" s="260"/>
      <c r="KLW15" s="260"/>
      <c r="KLX15" s="260"/>
      <c r="KLY15" s="260"/>
      <c r="KLZ15" s="260"/>
      <c r="KMA15" s="260"/>
      <c r="KMB15" s="260"/>
      <c r="KMC15" s="260"/>
      <c r="KMD15" s="260"/>
      <c r="KME15" s="260"/>
      <c r="KMF15" s="260"/>
      <c r="KMG15" s="260"/>
      <c r="KMH15" s="260"/>
      <c r="KMI15" s="260"/>
      <c r="KMJ15" s="260"/>
      <c r="KMK15" s="260"/>
      <c r="KML15" s="260"/>
      <c r="KMM15" s="260"/>
      <c r="KMN15" s="260"/>
      <c r="KMO15" s="260"/>
      <c r="KMP15" s="260"/>
      <c r="KMQ15" s="260"/>
      <c r="KMR15" s="260"/>
      <c r="KMS15" s="260"/>
      <c r="KMT15" s="260"/>
      <c r="KMU15" s="260"/>
      <c r="KMV15" s="260"/>
      <c r="KMW15" s="260"/>
      <c r="KMX15" s="260"/>
      <c r="KMY15" s="260"/>
      <c r="KMZ15" s="260"/>
      <c r="KNA15" s="260"/>
      <c r="KNB15" s="260"/>
      <c r="KNC15" s="260"/>
      <c r="KND15" s="260"/>
      <c r="KNE15" s="260"/>
      <c r="KNF15" s="260"/>
      <c r="KNG15" s="260"/>
      <c r="KNH15" s="260"/>
      <c r="KNI15" s="260"/>
      <c r="KNJ15" s="260"/>
      <c r="KNK15" s="260"/>
      <c r="KNL15" s="260"/>
      <c r="KNM15" s="260"/>
      <c r="KNN15" s="260"/>
      <c r="KNO15" s="260"/>
      <c r="KNP15" s="260"/>
      <c r="KNQ15" s="260"/>
      <c r="KNR15" s="260"/>
      <c r="KNS15" s="260"/>
      <c r="KNT15" s="260"/>
      <c r="KNU15" s="260"/>
      <c r="KNV15" s="260"/>
      <c r="KNW15" s="260"/>
      <c r="KNX15" s="260"/>
      <c r="KNY15" s="260"/>
      <c r="KNZ15" s="260"/>
      <c r="KOA15" s="260"/>
      <c r="KOB15" s="260"/>
      <c r="KOC15" s="260"/>
      <c r="KOD15" s="260"/>
      <c r="KOE15" s="260"/>
      <c r="KOF15" s="260"/>
      <c r="KOG15" s="260"/>
      <c r="KOH15" s="260"/>
      <c r="KOI15" s="260"/>
      <c r="KOJ15" s="260"/>
      <c r="KOK15" s="260"/>
      <c r="KOL15" s="260"/>
      <c r="KOM15" s="260"/>
      <c r="KON15" s="260"/>
      <c r="KOO15" s="260"/>
      <c r="KOP15" s="260"/>
      <c r="KOQ15" s="260"/>
      <c r="KOR15" s="260"/>
      <c r="KOS15" s="260"/>
      <c r="KOT15" s="260"/>
      <c r="KOU15" s="260"/>
      <c r="KOV15" s="260"/>
      <c r="KOW15" s="260"/>
      <c r="KOX15" s="260"/>
      <c r="KOY15" s="260"/>
      <c r="KOZ15" s="260"/>
      <c r="KPA15" s="260"/>
      <c r="KPB15" s="260"/>
      <c r="KPC15" s="260"/>
      <c r="KPD15" s="260"/>
      <c r="KPE15" s="260"/>
      <c r="KPF15" s="260"/>
      <c r="KPG15" s="260"/>
      <c r="KPH15" s="260"/>
      <c r="KPI15" s="260"/>
      <c r="KPJ15" s="260"/>
      <c r="KPK15" s="260"/>
      <c r="KPL15" s="260"/>
      <c r="KPM15" s="260"/>
      <c r="KPN15" s="260"/>
      <c r="KPO15" s="260"/>
      <c r="KPP15" s="260"/>
      <c r="KPQ15" s="260"/>
      <c r="KPR15" s="260"/>
      <c r="KPS15" s="260"/>
      <c r="KPT15" s="260"/>
      <c r="KPU15" s="260"/>
      <c r="KPV15" s="260"/>
      <c r="KPW15" s="260"/>
      <c r="KPX15" s="260"/>
      <c r="KPY15" s="260"/>
      <c r="KPZ15" s="260"/>
      <c r="KQA15" s="260"/>
      <c r="KQB15" s="260"/>
      <c r="KQC15" s="260"/>
      <c r="KQD15" s="260"/>
      <c r="KQE15" s="260"/>
      <c r="KQF15" s="260"/>
      <c r="KQG15" s="260"/>
      <c r="KQH15" s="260"/>
      <c r="KQI15" s="260"/>
      <c r="KQJ15" s="260"/>
      <c r="KQK15" s="260"/>
      <c r="KQL15" s="260"/>
      <c r="KQM15" s="260"/>
      <c r="KQN15" s="260"/>
      <c r="KQO15" s="260"/>
      <c r="KQP15" s="260"/>
      <c r="KQQ15" s="260"/>
      <c r="KQR15" s="260"/>
      <c r="KQS15" s="260"/>
      <c r="KQT15" s="260"/>
      <c r="KQU15" s="260"/>
      <c r="KQV15" s="260"/>
      <c r="KQW15" s="260"/>
      <c r="KQX15" s="260"/>
      <c r="KQY15" s="260"/>
      <c r="KQZ15" s="260"/>
      <c r="KRA15" s="260"/>
      <c r="KRB15" s="260"/>
      <c r="KRC15" s="260"/>
      <c r="KRD15" s="260"/>
      <c r="KRE15" s="260"/>
      <c r="KRF15" s="260"/>
      <c r="KRG15" s="260"/>
      <c r="KRH15" s="260"/>
      <c r="KRI15" s="260"/>
      <c r="KRJ15" s="260"/>
      <c r="KRK15" s="260"/>
      <c r="KRL15" s="260"/>
      <c r="KRM15" s="260"/>
      <c r="KRN15" s="260"/>
      <c r="KRO15" s="260"/>
      <c r="KRP15" s="260"/>
      <c r="KRQ15" s="260"/>
      <c r="KRR15" s="260"/>
      <c r="KRS15" s="260"/>
      <c r="KRT15" s="260"/>
      <c r="KRU15" s="260"/>
      <c r="KRV15" s="260"/>
      <c r="KRW15" s="260"/>
      <c r="KRX15" s="260"/>
      <c r="KRY15" s="260"/>
      <c r="KRZ15" s="260"/>
      <c r="KSA15" s="260"/>
      <c r="KSB15" s="260"/>
      <c r="KSC15" s="260"/>
      <c r="KSD15" s="260"/>
      <c r="KSE15" s="260"/>
      <c r="KSF15" s="260"/>
      <c r="KSG15" s="260"/>
      <c r="KSH15" s="260"/>
      <c r="KSI15" s="260"/>
      <c r="KSJ15" s="260"/>
      <c r="KSK15" s="260"/>
      <c r="KSL15" s="260"/>
      <c r="KSM15" s="260"/>
      <c r="KSN15" s="260"/>
      <c r="KSO15" s="260"/>
      <c r="KSP15" s="260"/>
      <c r="KSQ15" s="260"/>
      <c r="KSR15" s="260"/>
      <c r="KSS15" s="260"/>
      <c r="KST15" s="260"/>
      <c r="KSU15" s="260"/>
      <c r="KSV15" s="260"/>
      <c r="KSW15" s="260"/>
      <c r="KSX15" s="260"/>
      <c r="KSY15" s="260"/>
      <c r="KSZ15" s="260"/>
      <c r="KTA15" s="260"/>
      <c r="KTB15" s="260"/>
      <c r="KTC15" s="260"/>
      <c r="KTD15" s="260"/>
      <c r="KTE15" s="260"/>
      <c r="KTF15" s="260"/>
      <c r="KTG15" s="260"/>
      <c r="KTH15" s="260"/>
      <c r="KTI15" s="260"/>
      <c r="KTJ15" s="260"/>
      <c r="KTK15" s="260"/>
      <c r="KTL15" s="260"/>
      <c r="KTM15" s="260"/>
      <c r="KTN15" s="260"/>
      <c r="KTO15" s="260"/>
      <c r="KTP15" s="260"/>
      <c r="KTQ15" s="260"/>
      <c r="KTR15" s="260"/>
      <c r="KTS15" s="260"/>
      <c r="KTT15" s="260"/>
      <c r="KTU15" s="260"/>
      <c r="KTV15" s="260"/>
      <c r="KTW15" s="260"/>
      <c r="KTX15" s="260"/>
      <c r="KTY15" s="260"/>
      <c r="KTZ15" s="260"/>
      <c r="KUA15" s="260"/>
      <c r="KUB15" s="260"/>
      <c r="KUC15" s="260"/>
      <c r="KUD15" s="260"/>
      <c r="KUE15" s="260"/>
      <c r="KUF15" s="260"/>
      <c r="KUG15" s="260"/>
      <c r="KUH15" s="260"/>
      <c r="KUI15" s="260"/>
      <c r="KUJ15" s="260"/>
      <c r="KUK15" s="260"/>
      <c r="KUL15" s="260"/>
      <c r="KUM15" s="260"/>
      <c r="KUN15" s="260"/>
      <c r="KUO15" s="260"/>
      <c r="KUP15" s="260"/>
      <c r="KUQ15" s="260"/>
      <c r="KUR15" s="260"/>
      <c r="KUS15" s="260"/>
      <c r="KUT15" s="260"/>
      <c r="KUU15" s="260"/>
      <c r="KUV15" s="260"/>
      <c r="KUW15" s="260"/>
      <c r="KUX15" s="260"/>
      <c r="KUY15" s="260"/>
      <c r="KUZ15" s="260"/>
      <c r="KVA15" s="260"/>
      <c r="KVB15" s="260"/>
      <c r="KVC15" s="260"/>
      <c r="KVD15" s="260"/>
      <c r="KVE15" s="260"/>
      <c r="KVF15" s="260"/>
      <c r="KVG15" s="260"/>
      <c r="KVH15" s="260"/>
      <c r="KVI15" s="260"/>
      <c r="KVJ15" s="260"/>
      <c r="KVK15" s="260"/>
      <c r="KVL15" s="260"/>
      <c r="KVM15" s="260"/>
      <c r="KVN15" s="260"/>
      <c r="KVO15" s="260"/>
      <c r="KVP15" s="260"/>
      <c r="KVQ15" s="260"/>
      <c r="KVR15" s="260"/>
      <c r="KVS15" s="260"/>
      <c r="KVT15" s="260"/>
      <c r="KVU15" s="260"/>
      <c r="KVV15" s="260"/>
      <c r="KVW15" s="260"/>
      <c r="KVX15" s="260"/>
      <c r="KVY15" s="260"/>
      <c r="KVZ15" s="260"/>
      <c r="KWA15" s="260"/>
      <c r="KWB15" s="260"/>
      <c r="KWC15" s="260"/>
      <c r="KWD15" s="260"/>
      <c r="KWE15" s="260"/>
      <c r="KWF15" s="260"/>
      <c r="KWG15" s="260"/>
      <c r="KWH15" s="260"/>
      <c r="KWI15" s="260"/>
      <c r="KWJ15" s="260"/>
      <c r="KWK15" s="260"/>
      <c r="KWL15" s="260"/>
      <c r="KWM15" s="260"/>
      <c r="KWN15" s="260"/>
      <c r="KWO15" s="260"/>
      <c r="KWP15" s="260"/>
      <c r="KWQ15" s="260"/>
      <c r="KWR15" s="260"/>
      <c r="KWS15" s="260"/>
      <c r="KWT15" s="260"/>
      <c r="KWU15" s="260"/>
      <c r="KWV15" s="260"/>
      <c r="KWW15" s="260"/>
      <c r="KWX15" s="260"/>
      <c r="KWY15" s="260"/>
      <c r="KWZ15" s="260"/>
      <c r="KXA15" s="260"/>
      <c r="KXB15" s="260"/>
      <c r="KXC15" s="260"/>
      <c r="KXD15" s="260"/>
      <c r="KXE15" s="260"/>
      <c r="KXF15" s="260"/>
      <c r="KXG15" s="260"/>
      <c r="KXH15" s="260"/>
      <c r="KXI15" s="260"/>
      <c r="KXJ15" s="260"/>
      <c r="KXK15" s="260"/>
      <c r="KXL15" s="260"/>
      <c r="KXM15" s="260"/>
      <c r="KXN15" s="260"/>
      <c r="KXO15" s="260"/>
      <c r="KXP15" s="260"/>
      <c r="KXQ15" s="260"/>
      <c r="KXR15" s="260"/>
      <c r="KXS15" s="260"/>
      <c r="KXT15" s="260"/>
      <c r="KXU15" s="260"/>
      <c r="KXV15" s="260"/>
      <c r="KXW15" s="260"/>
      <c r="KXX15" s="260"/>
      <c r="KXY15" s="260"/>
      <c r="KXZ15" s="260"/>
      <c r="KYA15" s="260"/>
      <c r="KYB15" s="260"/>
      <c r="KYC15" s="260"/>
      <c r="KYD15" s="260"/>
      <c r="KYE15" s="260"/>
      <c r="KYF15" s="260"/>
      <c r="KYG15" s="260"/>
      <c r="KYH15" s="260"/>
      <c r="KYI15" s="260"/>
      <c r="KYJ15" s="260"/>
      <c r="KYK15" s="260"/>
      <c r="KYL15" s="260"/>
      <c r="KYM15" s="260"/>
      <c r="KYN15" s="260"/>
      <c r="KYO15" s="260"/>
      <c r="KYP15" s="260"/>
      <c r="KYQ15" s="260"/>
      <c r="KYR15" s="260"/>
      <c r="KYS15" s="260"/>
      <c r="KYT15" s="260"/>
      <c r="KYU15" s="260"/>
      <c r="KYV15" s="260"/>
      <c r="KYW15" s="260"/>
      <c r="KYX15" s="260"/>
      <c r="KYY15" s="260"/>
      <c r="KYZ15" s="260"/>
      <c r="KZA15" s="260"/>
      <c r="KZB15" s="260"/>
      <c r="KZC15" s="260"/>
      <c r="KZD15" s="260"/>
      <c r="KZE15" s="260"/>
      <c r="KZF15" s="260"/>
      <c r="KZG15" s="260"/>
      <c r="KZH15" s="260"/>
      <c r="KZI15" s="260"/>
      <c r="KZJ15" s="260"/>
      <c r="KZK15" s="260"/>
      <c r="KZL15" s="260"/>
      <c r="KZM15" s="260"/>
      <c r="KZN15" s="260"/>
      <c r="KZO15" s="260"/>
      <c r="KZP15" s="260"/>
      <c r="KZQ15" s="260"/>
      <c r="KZR15" s="260"/>
      <c r="KZS15" s="260"/>
      <c r="KZT15" s="260"/>
      <c r="KZU15" s="260"/>
      <c r="KZV15" s="260"/>
      <c r="KZW15" s="260"/>
      <c r="KZX15" s="260"/>
      <c r="KZY15" s="260"/>
      <c r="KZZ15" s="260"/>
      <c r="LAA15" s="260"/>
      <c r="LAB15" s="260"/>
      <c r="LAC15" s="260"/>
      <c r="LAD15" s="260"/>
      <c r="LAE15" s="260"/>
      <c r="LAF15" s="260"/>
      <c r="LAG15" s="260"/>
      <c r="LAH15" s="260"/>
      <c r="LAI15" s="260"/>
      <c r="LAJ15" s="260"/>
      <c r="LAK15" s="260"/>
      <c r="LAL15" s="260"/>
      <c r="LAM15" s="260"/>
      <c r="LAN15" s="260"/>
      <c r="LAO15" s="260"/>
      <c r="LAP15" s="260"/>
      <c r="LAQ15" s="260"/>
      <c r="LAR15" s="260"/>
      <c r="LAS15" s="260"/>
      <c r="LAT15" s="260"/>
      <c r="LAU15" s="260"/>
      <c r="LAV15" s="260"/>
      <c r="LAW15" s="260"/>
      <c r="LAX15" s="260"/>
      <c r="LAY15" s="260"/>
      <c r="LAZ15" s="260"/>
      <c r="LBA15" s="260"/>
      <c r="LBB15" s="260"/>
      <c r="LBC15" s="260"/>
      <c r="LBD15" s="260"/>
      <c r="LBE15" s="260"/>
      <c r="LBF15" s="260"/>
      <c r="LBG15" s="260"/>
      <c r="LBH15" s="260"/>
      <c r="LBI15" s="260"/>
      <c r="LBJ15" s="260"/>
      <c r="LBK15" s="260"/>
      <c r="LBL15" s="260"/>
      <c r="LBM15" s="260"/>
      <c r="LBN15" s="260"/>
      <c r="LBO15" s="260"/>
      <c r="LBP15" s="260"/>
      <c r="LBQ15" s="260"/>
      <c r="LBR15" s="260"/>
      <c r="LBS15" s="260"/>
      <c r="LBT15" s="260"/>
      <c r="LBU15" s="260"/>
      <c r="LBV15" s="260"/>
      <c r="LBW15" s="260"/>
      <c r="LBX15" s="260"/>
      <c r="LBY15" s="260"/>
      <c r="LBZ15" s="260"/>
      <c r="LCA15" s="260"/>
      <c r="LCB15" s="260"/>
      <c r="LCC15" s="260"/>
      <c r="LCD15" s="260"/>
      <c r="LCE15" s="260"/>
      <c r="LCF15" s="260"/>
      <c r="LCG15" s="260"/>
      <c r="LCH15" s="260"/>
      <c r="LCI15" s="260"/>
      <c r="LCJ15" s="260"/>
      <c r="LCK15" s="260"/>
      <c r="LCL15" s="260"/>
      <c r="LCM15" s="260"/>
      <c r="LCN15" s="260"/>
      <c r="LCO15" s="260"/>
      <c r="LCP15" s="260"/>
      <c r="LCQ15" s="260"/>
      <c r="LCR15" s="260"/>
      <c r="LCS15" s="260"/>
      <c r="LCT15" s="260"/>
      <c r="LCU15" s="260"/>
      <c r="LCV15" s="260"/>
      <c r="LCW15" s="260"/>
      <c r="LCX15" s="260"/>
      <c r="LCY15" s="260"/>
      <c r="LCZ15" s="260"/>
      <c r="LDA15" s="260"/>
      <c r="LDB15" s="260"/>
      <c r="LDC15" s="260"/>
      <c r="LDD15" s="260"/>
      <c r="LDE15" s="260"/>
      <c r="LDF15" s="260"/>
      <c r="LDG15" s="260"/>
      <c r="LDH15" s="260"/>
      <c r="LDI15" s="260"/>
      <c r="LDJ15" s="260"/>
      <c r="LDK15" s="260"/>
      <c r="LDL15" s="260"/>
      <c r="LDM15" s="260"/>
      <c r="LDN15" s="260"/>
      <c r="LDO15" s="260"/>
      <c r="LDP15" s="260"/>
      <c r="LDQ15" s="260"/>
      <c r="LDR15" s="260"/>
      <c r="LDS15" s="260"/>
      <c r="LDT15" s="260"/>
      <c r="LDU15" s="260"/>
      <c r="LDV15" s="260"/>
      <c r="LDW15" s="260"/>
      <c r="LDX15" s="260"/>
      <c r="LDY15" s="260"/>
      <c r="LDZ15" s="260"/>
      <c r="LEA15" s="260"/>
      <c r="LEB15" s="260"/>
      <c r="LEC15" s="260"/>
      <c r="LED15" s="260"/>
      <c r="LEE15" s="260"/>
      <c r="LEF15" s="260"/>
      <c r="LEG15" s="260"/>
      <c r="LEH15" s="260"/>
      <c r="LEI15" s="260"/>
      <c r="LEJ15" s="260"/>
      <c r="LEK15" s="260"/>
      <c r="LEL15" s="260"/>
      <c r="LEM15" s="260"/>
      <c r="LEN15" s="260"/>
      <c r="LEO15" s="260"/>
      <c r="LEP15" s="260"/>
      <c r="LEQ15" s="260"/>
      <c r="LER15" s="260"/>
      <c r="LES15" s="260"/>
      <c r="LET15" s="260"/>
      <c r="LEU15" s="260"/>
      <c r="LEV15" s="260"/>
      <c r="LEW15" s="260"/>
      <c r="LEX15" s="260"/>
      <c r="LEY15" s="260"/>
      <c r="LEZ15" s="260"/>
      <c r="LFA15" s="260"/>
      <c r="LFB15" s="260"/>
      <c r="LFC15" s="260"/>
      <c r="LFD15" s="260"/>
      <c r="LFE15" s="260"/>
      <c r="LFF15" s="260"/>
      <c r="LFG15" s="260"/>
      <c r="LFH15" s="260"/>
      <c r="LFI15" s="260"/>
      <c r="LFJ15" s="260"/>
      <c r="LFK15" s="260"/>
      <c r="LFL15" s="260"/>
      <c r="LFM15" s="260"/>
      <c r="LFN15" s="260"/>
      <c r="LFO15" s="260"/>
      <c r="LFP15" s="260"/>
      <c r="LFQ15" s="260"/>
      <c r="LFR15" s="260"/>
      <c r="LFS15" s="260"/>
      <c r="LFT15" s="260"/>
      <c r="LFU15" s="260"/>
      <c r="LFV15" s="260"/>
      <c r="LFW15" s="260"/>
      <c r="LFX15" s="260"/>
      <c r="LFY15" s="260"/>
      <c r="LFZ15" s="260"/>
      <c r="LGA15" s="260"/>
      <c r="LGB15" s="260"/>
      <c r="LGC15" s="260"/>
      <c r="LGD15" s="260"/>
      <c r="LGE15" s="260"/>
      <c r="LGF15" s="260"/>
      <c r="LGG15" s="260"/>
      <c r="LGH15" s="260"/>
      <c r="LGI15" s="260"/>
      <c r="LGJ15" s="260"/>
      <c r="LGK15" s="260"/>
      <c r="LGL15" s="260"/>
      <c r="LGM15" s="260"/>
      <c r="LGN15" s="260"/>
      <c r="LGO15" s="260"/>
      <c r="LGP15" s="260"/>
      <c r="LGQ15" s="260"/>
      <c r="LGR15" s="260"/>
      <c r="LGS15" s="260"/>
      <c r="LGT15" s="260"/>
      <c r="LGU15" s="260"/>
      <c r="LGV15" s="260"/>
      <c r="LGW15" s="260"/>
      <c r="LGX15" s="260"/>
      <c r="LGY15" s="260"/>
      <c r="LGZ15" s="260"/>
      <c r="LHA15" s="260"/>
      <c r="LHB15" s="260"/>
      <c r="LHC15" s="260"/>
      <c r="LHD15" s="260"/>
      <c r="LHE15" s="260"/>
      <c r="LHF15" s="260"/>
      <c r="LHG15" s="260"/>
      <c r="LHH15" s="260"/>
      <c r="LHI15" s="260"/>
      <c r="LHJ15" s="260"/>
      <c r="LHK15" s="260"/>
      <c r="LHL15" s="260"/>
      <c r="LHM15" s="260"/>
      <c r="LHN15" s="260"/>
      <c r="LHO15" s="260"/>
      <c r="LHP15" s="260"/>
      <c r="LHQ15" s="260"/>
      <c r="LHR15" s="260"/>
      <c r="LHS15" s="260"/>
      <c r="LHT15" s="260"/>
      <c r="LHU15" s="260"/>
      <c r="LHV15" s="260"/>
      <c r="LHW15" s="260"/>
      <c r="LHX15" s="260"/>
      <c r="LHY15" s="260"/>
      <c r="LHZ15" s="260"/>
      <c r="LIA15" s="260"/>
      <c r="LIB15" s="260"/>
      <c r="LIC15" s="260"/>
      <c r="LID15" s="260"/>
      <c r="LIE15" s="260"/>
      <c r="LIF15" s="260"/>
      <c r="LIG15" s="260"/>
      <c r="LIH15" s="260"/>
      <c r="LII15" s="260"/>
      <c r="LIJ15" s="260"/>
      <c r="LIK15" s="260"/>
      <c r="LIL15" s="260"/>
      <c r="LIM15" s="260"/>
      <c r="LIN15" s="260"/>
      <c r="LIO15" s="260"/>
      <c r="LIP15" s="260"/>
      <c r="LIQ15" s="260"/>
      <c r="LIR15" s="260"/>
      <c r="LIS15" s="260"/>
      <c r="LIT15" s="260"/>
      <c r="LIU15" s="260"/>
      <c r="LIV15" s="260"/>
      <c r="LIW15" s="260"/>
      <c r="LIX15" s="260"/>
      <c r="LIY15" s="260"/>
      <c r="LIZ15" s="260"/>
      <c r="LJA15" s="260"/>
      <c r="LJB15" s="260"/>
      <c r="LJC15" s="260"/>
      <c r="LJD15" s="260"/>
      <c r="LJE15" s="260"/>
      <c r="LJF15" s="260"/>
      <c r="LJG15" s="260"/>
      <c r="LJH15" s="260"/>
      <c r="LJI15" s="260"/>
      <c r="LJJ15" s="260"/>
      <c r="LJK15" s="260"/>
      <c r="LJL15" s="260"/>
      <c r="LJM15" s="260"/>
      <c r="LJN15" s="260"/>
      <c r="LJO15" s="260"/>
      <c r="LJP15" s="260"/>
      <c r="LJQ15" s="260"/>
      <c r="LJR15" s="260"/>
      <c r="LJS15" s="260"/>
      <c r="LJT15" s="260"/>
      <c r="LJU15" s="260"/>
      <c r="LJV15" s="260"/>
      <c r="LJW15" s="260"/>
      <c r="LJX15" s="260"/>
      <c r="LJY15" s="260"/>
      <c r="LJZ15" s="260"/>
      <c r="LKA15" s="260"/>
      <c r="LKB15" s="260"/>
      <c r="LKC15" s="260"/>
      <c r="LKD15" s="260"/>
      <c r="LKE15" s="260"/>
      <c r="LKF15" s="260"/>
      <c r="LKG15" s="260"/>
      <c r="LKH15" s="260"/>
      <c r="LKI15" s="260"/>
      <c r="LKJ15" s="260"/>
      <c r="LKK15" s="260"/>
      <c r="LKL15" s="260"/>
      <c r="LKM15" s="260"/>
      <c r="LKN15" s="260"/>
      <c r="LKO15" s="260"/>
      <c r="LKP15" s="260"/>
      <c r="LKQ15" s="260"/>
      <c r="LKR15" s="260"/>
      <c r="LKS15" s="260"/>
      <c r="LKT15" s="260"/>
      <c r="LKU15" s="260"/>
      <c r="LKV15" s="260"/>
      <c r="LKW15" s="260"/>
      <c r="LKX15" s="260"/>
      <c r="LKY15" s="260"/>
      <c r="LKZ15" s="260"/>
      <c r="LLA15" s="260"/>
      <c r="LLB15" s="260"/>
      <c r="LLC15" s="260"/>
      <c r="LLD15" s="260"/>
      <c r="LLE15" s="260"/>
      <c r="LLF15" s="260"/>
      <c r="LLG15" s="260"/>
      <c r="LLH15" s="260"/>
      <c r="LLI15" s="260"/>
      <c r="LLJ15" s="260"/>
      <c r="LLK15" s="260"/>
      <c r="LLL15" s="260"/>
      <c r="LLM15" s="260"/>
      <c r="LLN15" s="260"/>
      <c r="LLO15" s="260"/>
      <c r="LLP15" s="260"/>
      <c r="LLQ15" s="260"/>
      <c r="LLR15" s="260"/>
      <c r="LLS15" s="260"/>
      <c r="LLT15" s="260"/>
      <c r="LLU15" s="260"/>
      <c r="LLV15" s="260"/>
      <c r="LLW15" s="260"/>
      <c r="LLX15" s="260"/>
      <c r="LLY15" s="260"/>
      <c r="LLZ15" s="260"/>
      <c r="LMA15" s="260"/>
      <c r="LMB15" s="260"/>
      <c r="LMC15" s="260"/>
      <c r="LMD15" s="260"/>
      <c r="LME15" s="260"/>
      <c r="LMF15" s="260"/>
      <c r="LMG15" s="260"/>
      <c r="LMH15" s="260"/>
      <c r="LMI15" s="260"/>
      <c r="LMJ15" s="260"/>
      <c r="LMK15" s="260"/>
      <c r="LML15" s="260"/>
      <c r="LMM15" s="260"/>
      <c r="LMN15" s="260"/>
      <c r="LMO15" s="260"/>
      <c r="LMP15" s="260"/>
      <c r="LMQ15" s="260"/>
      <c r="LMR15" s="260"/>
      <c r="LMS15" s="260"/>
      <c r="LMT15" s="260"/>
      <c r="LMU15" s="260"/>
      <c r="LMV15" s="260"/>
      <c r="LMW15" s="260"/>
      <c r="LMX15" s="260"/>
      <c r="LMY15" s="260"/>
      <c r="LMZ15" s="260"/>
      <c r="LNA15" s="260"/>
      <c r="LNB15" s="260"/>
      <c r="LNC15" s="260"/>
      <c r="LND15" s="260"/>
      <c r="LNE15" s="260"/>
      <c r="LNF15" s="260"/>
      <c r="LNG15" s="260"/>
      <c r="LNH15" s="260"/>
      <c r="LNI15" s="260"/>
      <c r="LNJ15" s="260"/>
      <c r="LNK15" s="260"/>
      <c r="LNL15" s="260"/>
      <c r="LNM15" s="260"/>
      <c r="LNN15" s="260"/>
      <c r="LNO15" s="260"/>
      <c r="LNP15" s="260"/>
      <c r="LNQ15" s="260"/>
      <c r="LNR15" s="260"/>
      <c r="LNS15" s="260"/>
      <c r="LNT15" s="260"/>
      <c r="LNU15" s="260"/>
      <c r="LNV15" s="260"/>
      <c r="LNW15" s="260"/>
      <c r="LNX15" s="260"/>
      <c r="LNY15" s="260"/>
      <c r="LNZ15" s="260"/>
      <c r="LOA15" s="260"/>
      <c r="LOB15" s="260"/>
      <c r="LOC15" s="260"/>
      <c r="LOD15" s="260"/>
      <c r="LOE15" s="260"/>
      <c r="LOF15" s="260"/>
      <c r="LOG15" s="260"/>
      <c r="LOH15" s="260"/>
      <c r="LOI15" s="260"/>
      <c r="LOJ15" s="260"/>
      <c r="LOK15" s="260"/>
      <c r="LOL15" s="260"/>
      <c r="LOM15" s="260"/>
      <c r="LON15" s="260"/>
      <c r="LOO15" s="260"/>
      <c r="LOP15" s="260"/>
      <c r="LOQ15" s="260"/>
      <c r="LOR15" s="260"/>
      <c r="LOS15" s="260"/>
      <c r="LOT15" s="260"/>
      <c r="LOU15" s="260"/>
      <c r="LOV15" s="260"/>
      <c r="LOW15" s="260"/>
      <c r="LOX15" s="260"/>
      <c r="LOY15" s="260"/>
      <c r="LOZ15" s="260"/>
      <c r="LPA15" s="260"/>
      <c r="LPB15" s="260"/>
      <c r="LPC15" s="260"/>
      <c r="LPD15" s="260"/>
      <c r="LPE15" s="260"/>
      <c r="LPF15" s="260"/>
      <c r="LPG15" s="260"/>
      <c r="LPH15" s="260"/>
      <c r="LPI15" s="260"/>
      <c r="LPJ15" s="260"/>
      <c r="LPK15" s="260"/>
      <c r="LPL15" s="260"/>
      <c r="LPM15" s="260"/>
      <c r="LPN15" s="260"/>
      <c r="LPO15" s="260"/>
      <c r="LPP15" s="260"/>
      <c r="LPQ15" s="260"/>
      <c r="LPR15" s="260"/>
      <c r="LPS15" s="260"/>
      <c r="LPT15" s="260"/>
      <c r="LPU15" s="260"/>
      <c r="LPV15" s="260"/>
      <c r="LPW15" s="260"/>
      <c r="LPX15" s="260"/>
      <c r="LPY15" s="260"/>
      <c r="LPZ15" s="260"/>
      <c r="LQA15" s="260"/>
      <c r="LQB15" s="260"/>
      <c r="LQC15" s="260"/>
      <c r="LQD15" s="260"/>
      <c r="LQE15" s="260"/>
      <c r="LQF15" s="260"/>
      <c r="LQG15" s="260"/>
      <c r="LQH15" s="260"/>
      <c r="LQI15" s="260"/>
      <c r="LQJ15" s="260"/>
      <c r="LQK15" s="260"/>
      <c r="LQL15" s="260"/>
      <c r="LQM15" s="260"/>
      <c r="LQN15" s="260"/>
      <c r="LQO15" s="260"/>
      <c r="LQP15" s="260"/>
      <c r="LQQ15" s="260"/>
      <c r="LQR15" s="260"/>
      <c r="LQS15" s="260"/>
      <c r="LQT15" s="260"/>
      <c r="LQU15" s="260"/>
      <c r="LQV15" s="260"/>
      <c r="LQW15" s="260"/>
      <c r="LQX15" s="260"/>
      <c r="LQY15" s="260"/>
      <c r="LQZ15" s="260"/>
      <c r="LRA15" s="260"/>
      <c r="LRB15" s="260"/>
      <c r="LRC15" s="260"/>
      <c r="LRD15" s="260"/>
      <c r="LRE15" s="260"/>
      <c r="LRF15" s="260"/>
      <c r="LRG15" s="260"/>
      <c r="LRH15" s="260"/>
      <c r="LRI15" s="260"/>
      <c r="LRJ15" s="260"/>
      <c r="LRK15" s="260"/>
      <c r="LRL15" s="260"/>
      <c r="LRM15" s="260"/>
      <c r="LRN15" s="260"/>
      <c r="LRO15" s="260"/>
      <c r="LRP15" s="260"/>
      <c r="LRQ15" s="260"/>
      <c r="LRR15" s="260"/>
      <c r="LRS15" s="260"/>
      <c r="LRT15" s="260"/>
      <c r="LRU15" s="260"/>
      <c r="LRV15" s="260"/>
      <c r="LRW15" s="260"/>
      <c r="LRX15" s="260"/>
      <c r="LRY15" s="260"/>
      <c r="LRZ15" s="260"/>
      <c r="LSA15" s="260"/>
      <c r="LSB15" s="260"/>
      <c r="LSC15" s="260"/>
      <c r="LSD15" s="260"/>
      <c r="LSE15" s="260"/>
      <c r="LSF15" s="260"/>
      <c r="LSG15" s="260"/>
      <c r="LSH15" s="260"/>
      <c r="LSI15" s="260"/>
      <c r="LSJ15" s="260"/>
      <c r="LSK15" s="260"/>
      <c r="LSL15" s="260"/>
      <c r="LSM15" s="260"/>
      <c r="LSN15" s="260"/>
      <c r="LSO15" s="260"/>
      <c r="LSP15" s="260"/>
      <c r="LSQ15" s="260"/>
      <c r="LSR15" s="260"/>
      <c r="LSS15" s="260"/>
      <c r="LST15" s="260"/>
      <c r="LSU15" s="260"/>
      <c r="LSV15" s="260"/>
      <c r="LSW15" s="260"/>
      <c r="LSX15" s="260"/>
      <c r="LSY15" s="260"/>
      <c r="LSZ15" s="260"/>
      <c r="LTA15" s="260"/>
      <c r="LTB15" s="260"/>
      <c r="LTC15" s="260"/>
      <c r="LTD15" s="260"/>
      <c r="LTE15" s="260"/>
      <c r="LTF15" s="260"/>
      <c r="LTG15" s="260"/>
      <c r="LTH15" s="260"/>
      <c r="LTI15" s="260"/>
      <c r="LTJ15" s="260"/>
      <c r="LTK15" s="260"/>
      <c r="LTL15" s="260"/>
      <c r="LTM15" s="260"/>
      <c r="LTN15" s="260"/>
      <c r="LTO15" s="260"/>
      <c r="LTP15" s="260"/>
      <c r="LTQ15" s="260"/>
      <c r="LTR15" s="260"/>
      <c r="LTS15" s="260"/>
      <c r="LTT15" s="260"/>
      <c r="LTU15" s="260"/>
      <c r="LTV15" s="260"/>
      <c r="LTW15" s="260"/>
      <c r="LTX15" s="260"/>
      <c r="LTY15" s="260"/>
      <c r="LTZ15" s="260"/>
      <c r="LUA15" s="260"/>
      <c r="LUB15" s="260"/>
      <c r="LUC15" s="260"/>
      <c r="LUD15" s="260"/>
      <c r="LUE15" s="260"/>
      <c r="LUF15" s="260"/>
      <c r="LUG15" s="260"/>
      <c r="LUH15" s="260"/>
      <c r="LUI15" s="260"/>
      <c r="LUJ15" s="260"/>
      <c r="LUK15" s="260"/>
      <c r="LUL15" s="260"/>
      <c r="LUM15" s="260"/>
      <c r="LUN15" s="260"/>
      <c r="LUO15" s="260"/>
      <c r="LUP15" s="260"/>
      <c r="LUQ15" s="260"/>
      <c r="LUR15" s="260"/>
      <c r="LUS15" s="260"/>
      <c r="LUT15" s="260"/>
      <c r="LUU15" s="260"/>
      <c r="LUV15" s="260"/>
      <c r="LUW15" s="260"/>
      <c r="LUX15" s="260"/>
      <c r="LUY15" s="260"/>
      <c r="LUZ15" s="260"/>
      <c r="LVA15" s="260"/>
      <c r="LVB15" s="260"/>
      <c r="LVC15" s="260"/>
      <c r="LVD15" s="260"/>
      <c r="LVE15" s="260"/>
      <c r="LVF15" s="260"/>
      <c r="LVG15" s="260"/>
      <c r="LVH15" s="260"/>
      <c r="LVI15" s="260"/>
      <c r="LVJ15" s="260"/>
      <c r="LVK15" s="260"/>
      <c r="LVL15" s="260"/>
      <c r="LVM15" s="260"/>
      <c r="LVN15" s="260"/>
      <c r="LVO15" s="260"/>
      <c r="LVP15" s="260"/>
      <c r="LVQ15" s="260"/>
      <c r="LVR15" s="260"/>
      <c r="LVS15" s="260"/>
      <c r="LVT15" s="260"/>
      <c r="LVU15" s="260"/>
      <c r="LVV15" s="260"/>
      <c r="LVW15" s="260"/>
      <c r="LVX15" s="260"/>
      <c r="LVY15" s="260"/>
      <c r="LVZ15" s="260"/>
      <c r="LWA15" s="260"/>
      <c r="LWB15" s="260"/>
      <c r="LWC15" s="260"/>
      <c r="LWD15" s="260"/>
      <c r="LWE15" s="260"/>
      <c r="LWF15" s="260"/>
      <c r="LWG15" s="260"/>
      <c r="LWH15" s="260"/>
      <c r="LWI15" s="260"/>
      <c r="LWJ15" s="260"/>
      <c r="LWK15" s="260"/>
      <c r="LWL15" s="260"/>
      <c r="LWM15" s="260"/>
      <c r="LWN15" s="260"/>
      <c r="LWO15" s="260"/>
      <c r="LWP15" s="260"/>
      <c r="LWQ15" s="260"/>
      <c r="LWR15" s="260"/>
      <c r="LWS15" s="260"/>
      <c r="LWT15" s="260"/>
      <c r="LWU15" s="260"/>
      <c r="LWV15" s="260"/>
      <c r="LWW15" s="260"/>
      <c r="LWX15" s="260"/>
      <c r="LWY15" s="260"/>
      <c r="LWZ15" s="260"/>
      <c r="LXA15" s="260"/>
      <c r="LXB15" s="260"/>
      <c r="LXC15" s="260"/>
      <c r="LXD15" s="260"/>
      <c r="LXE15" s="260"/>
      <c r="LXF15" s="260"/>
      <c r="LXG15" s="260"/>
      <c r="LXH15" s="260"/>
      <c r="LXI15" s="260"/>
      <c r="LXJ15" s="260"/>
      <c r="LXK15" s="260"/>
      <c r="LXL15" s="260"/>
      <c r="LXM15" s="260"/>
      <c r="LXN15" s="260"/>
      <c r="LXO15" s="260"/>
      <c r="LXP15" s="260"/>
      <c r="LXQ15" s="260"/>
      <c r="LXR15" s="260"/>
      <c r="LXS15" s="260"/>
      <c r="LXT15" s="260"/>
      <c r="LXU15" s="260"/>
      <c r="LXV15" s="260"/>
      <c r="LXW15" s="260"/>
      <c r="LXX15" s="260"/>
      <c r="LXY15" s="260"/>
      <c r="LXZ15" s="260"/>
      <c r="LYA15" s="260"/>
      <c r="LYB15" s="260"/>
      <c r="LYC15" s="260"/>
      <c r="LYD15" s="260"/>
      <c r="LYE15" s="260"/>
      <c r="LYF15" s="260"/>
      <c r="LYG15" s="260"/>
      <c r="LYH15" s="260"/>
      <c r="LYI15" s="260"/>
      <c r="LYJ15" s="260"/>
      <c r="LYK15" s="260"/>
      <c r="LYL15" s="260"/>
      <c r="LYM15" s="260"/>
      <c r="LYN15" s="260"/>
      <c r="LYO15" s="260"/>
      <c r="LYP15" s="260"/>
      <c r="LYQ15" s="260"/>
      <c r="LYR15" s="260"/>
      <c r="LYS15" s="260"/>
      <c r="LYT15" s="260"/>
      <c r="LYU15" s="260"/>
      <c r="LYV15" s="260"/>
      <c r="LYW15" s="260"/>
      <c r="LYX15" s="260"/>
      <c r="LYY15" s="260"/>
      <c r="LYZ15" s="260"/>
      <c r="LZA15" s="260"/>
      <c r="LZB15" s="260"/>
      <c r="LZC15" s="260"/>
      <c r="LZD15" s="260"/>
      <c r="LZE15" s="260"/>
      <c r="LZF15" s="260"/>
      <c r="LZG15" s="260"/>
      <c r="LZH15" s="260"/>
      <c r="LZI15" s="260"/>
      <c r="LZJ15" s="260"/>
      <c r="LZK15" s="260"/>
      <c r="LZL15" s="260"/>
      <c r="LZM15" s="260"/>
      <c r="LZN15" s="260"/>
      <c r="LZO15" s="260"/>
      <c r="LZP15" s="260"/>
      <c r="LZQ15" s="260"/>
      <c r="LZR15" s="260"/>
      <c r="LZS15" s="260"/>
      <c r="LZT15" s="260"/>
      <c r="LZU15" s="260"/>
      <c r="LZV15" s="260"/>
      <c r="LZW15" s="260"/>
      <c r="LZX15" s="260"/>
      <c r="LZY15" s="260"/>
      <c r="LZZ15" s="260"/>
      <c r="MAA15" s="260"/>
      <c r="MAB15" s="260"/>
      <c r="MAC15" s="260"/>
      <c r="MAD15" s="260"/>
      <c r="MAE15" s="260"/>
      <c r="MAF15" s="260"/>
      <c r="MAG15" s="260"/>
      <c r="MAH15" s="260"/>
      <c r="MAI15" s="260"/>
      <c r="MAJ15" s="260"/>
      <c r="MAK15" s="260"/>
      <c r="MAL15" s="260"/>
      <c r="MAM15" s="260"/>
      <c r="MAN15" s="260"/>
      <c r="MAO15" s="260"/>
      <c r="MAP15" s="260"/>
      <c r="MAQ15" s="260"/>
      <c r="MAR15" s="260"/>
      <c r="MAS15" s="260"/>
      <c r="MAT15" s="260"/>
      <c r="MAU15" s="260"/>
      <c r="MAV15" s="260"/>
      <c r="MAW15" s="260"/>
      <c r="MAX15" s="260"/>
      <c r="MAY15" s="260"/>
      <c r="MAZ15" s="260"/>
      <c r="MBA15" s="260"/>
      <c r="MBB15" s="260"/>
      <c r="MBC15" s="260"/>
      <c r="MBD15" s="260"/>
      <c r="MBE15" s="260"/>
      <c r="MBF15" s="260"/>
      <c r="MBG15" s="260"/>
      <c r="MBH15" s="260"/>
      <c r="MBI15" s="260"/>
      <c r="MBJ15" s="260"/>
      <c r="MBK15" s="260"/>
      <c r="MBL15" s="260"/>
      <c r="MBM15" s="260"/>
      <c r="MBN15" s="260"/>
      <c r="MBO15" s="260"/>
      <c r="MBP15" s="260"/>
      <c r="MBQ15" s="260"/>
      <c r="MBR15" s="260"/>
      <c r="MBS15" s="260"/>
      <c r="MBT15" s="260"/>
      <c r="MBU15" s="260"/>
      <c r="MBV15" s="260"/>
      <c r="MBW15" s="260"/>
      <c r="MBX15" s="260"/>
      <c r="MBY15" s="260"/>
      <c r="MBZ15" s="260"/>
      <c r="MCA15" s="260"/>
      <c r="MCB15" s="260"/>
      <c r="MCC15" s="260"/>
      <c r="MCD15" s="260"/>
      <c r="MCE15" s="260"/>
      <c r="MCF15" s="260"/>
      <c r="MCG15" s="260"/>
      <c r="MCH15" s="260"/>
      <c r="MCI15" s="260"/>
      <c r="MCJ15" s="260"/>
      <c r="MCK15" s="260"/>
      <c r="MCL15" s="260"/>
      <c r="MCM15" s="260"/>
      <c r="MCN15" s="260"/>
      <c r="MCO15" s="260"/>
      <c r="MCP15" s="260"/>
      <c r="MCQ15" s="260"/>
      <c r="MCR15" s="260"/>
      <c r="MCS15" s="260"/>
      <c r="MCT15" s="260"/>
      <c r="MCU15" s="260"/>
      <c r="MCV15" s="260"/>
      <c r="MCW15" s="260"/>
      <c r="MCX15" s="260"/>
      <c r="MCY15" s="260"/>
      <c r="MCZ15" s="260"/>
      <c r="MDA15" s="260"/>
      <c r="MDB15" s="260"/>
      <c r="MDC15" s="260"/>
      <c r="MDD15" s="260"/>
      <c r="MDE15" s="260"/>
      <c r="MDF15" s="260"/>
      <c r="MDG15" s="260"/>
      <c r="MDH15" s="260"/>
      <c r="MDI15" s="260"/>
      <c r="MDJ15" s="260"/>
      <c r="MDK15" s="260"/>
      <c r="MDL15" s="260"/>
      <c r="MDM15" s="260"/>
      <c r="MDN15" s="260"/>
      <c r="MDO15" s="260"/>
      <c r="MDP15" s="260"/>
      <c r="MDQ15" s="260"/>
      <c r="MDR15" s="260"/>
      <c r="MDS15" s="260"/>
      <c r="MDT15" s="260"/>
      <c r="MDU15" s="260"/>
      <c r="MDV15" s="260"/>
      <c r="MDW15" s="260"/>
      <c r="MDX15" s="260"/>
      <c r="MDY15" s="260"/>
      <c r="MDZ15" s="260"/>
      <c r="MEA15" s="260"/>
      <c r="MEB15" s="260"/>
      <c r="MEC15" s="260"/>
      <c r="MED15" s="260"/>
      <c r="MEE15" s="260"/>
      <c r="MEF15" s="260"/>
      <c r="MEG15" s="260"/>
      <c r="MEH15" s="260"/>
      <c r="MEI15" s="260"/>
      <c r="MEJ15" s="260"/>
      <c r="MEK15" s="260"/>
      <c r="MEL15" s="260"/>
      <c r="MEM15" s="260"/>
      <c r="MEN15" s="260"/>
      <c r="MEO15" s="260"/>
      <c r="MEP15" s="260"/>
      <c r="MEQ15" s="260"/>
      <c r="MER15" s="260"/>
      <c r="MES15" s="260"/>
      <c r="MET15" s="260"/>
      <c r="MEU15" s="260"/>
      <c r="MEV15" s="260"/>
      <c r="MEW15" s="260"/>
      <c r="MEX15" s="260"/>
      <c r="MEY15" s="260"/>
      <c r="MEZ15" s="260"/>
      <c r="MFA15" s="260"/>
      <c r="MFB15" s="260"/>
      <c r="MFC15" s="260"/>
      <c r="MFD15" s="260"/>
      <c r="MFE15" s="260"/>
      <c r="MFF15" s="260"/>
      <c r="MFG15" s="260"/>
      <c r="MFH15" s="260"/>
      <c r="MFI15" s="260"/>
      <c r="MFJ15" s="260"/>
      <c r="MFK15" s="260"/>
      <c r="MFL15" s="260"/>
      <c r="MFM15" s="260"/>
      <c r="MFN15" s="260"/>
      <c r="MFO15" s="260"/>
      <c r="MFP15" s="260"/>
      <c r="MFQ15" s="260"/>
      <c r="MFR15" s="260"/>
      <c r="MFS15" s="260"/>
      <c r="MFT15" s="260"/>
      <c r="MFU15" s="260"/>
      <c r="MFV15" s="260"/>
      <c r="MFW15" s="260"/>
      <c r="MFX15" s="260"/>
      <c r="MFY15" s="260"/>
      <c r="MFZ15" s="260"/>
      <c r="MGA15" s="260"/>
      <c r="MGB15" s="260"/>
      <c r="MGC15" s="260"/>
      <c r="MGD15" s="260"/>
      <c r="MGE15" s="260"/>
      <c r="MGF15" s="260"/>
      <c r="MGG15" s="260"/>
      <c r="MGH15" s="260"/>
      <c r="MGI15" s="260"/>
      <c r="MGJ15" s="260"/>
      <c r="MGK15" s="260"/>
      <c r="MGL15" s="260"/>
      <c r="MGM15" s="260"/>
      <c r="MGN15" s="260"/>
      <c r="MGO15" s="260"/>
      <c r="MGP15" s="260"/>
      <c r="MGQ15" s="260"/>
      <c r="MGR15" s="260"/>
      <c r="MGS15" s="260"/>
      <c r="MGT15" s="260"/>
      <c r="MGU15" s="260"/>
      <c r="MGV15" s="260"/>
      <c r="MGW15" s="260"/>
      <c r="MGX15" s="260"/>
      <c r="MGY15" s="260"/>
      <c r="MGZ15" s="260"/>
      <c r="MHA15" s="260"/>
      <c r="MHB15" s="260"/>
      <c r="MHC15" s="260"/>
      <c r="MHD15" s="260"/>
      <c r="MHE15" s="260"/>
      <c r="MHF15" s="260"/>
      <c r="MHG15" s="260"/>
      <c r="MHH15" s="260"/>
      <c r="MHI15" s="260"/>
      <c r="MHJ15" s="260"/>
      <c r="MHK15" s="260"/>
      <c r="MHL15" s="260"/>
      <c r="MHM15" s="260"/>
      <c r="MHN15" s="260"/>
      <c r="MHO15" s="260"/>
      <c r="MHP15" s="260"/>
      <c r="MHQ15" s="260"/>
      <c r="MHR15" s="260"/>
      <c r="MHS15" s="260"/>
      <c r="MHT15" s="260"/>
      <c r="MHU15" s="260"/>
      <c r="MHV15" s="260"/>
      <c r="MHW15" s="260"/>
      <c r="MHX15" s="260"/>
      <c r="MHY15" s="260"/>
      <c r="MHZ15" s="260"/>
      <c r="MIA15" s="260"/>
      <c r="MIB15" s="260"/>
      <c r="MIC15" s="260"/>
      <c r="MID15" s="260"/>
      <c r="MIE15" s="260"/>
      <c r="MIF15" s="260"/>
      <c r="MIG15" s="260"/>
      <c r="MIH15" s="260"/>
      <c r="MII15" s="260"/>
      <c r="MIJ15" s="260"/>
      <c r="MIK15" s="260"/>
      <c r="MIL15" s="260"/>
      <c r="MIM15" s="260"/>
      <c r="MIN15" s="260"/>
      <c r="MIO15" s="260"/>
      <c r="MIP15" s="260"/>
      <c r="MIQ15" s="260"/>
      <c r="MIR15" s="260"/>
      <c r="MIS15" s="260"/>
      <c r="MIT15" s="260"/>
      <c r="MIU15" s="260"/>
      <c r="MIV15" s="260"/>
      <c r="MIW15" s="260"/>
      <c r="MIX15" s="260"/>
      <c r="MIY15" s="260"/>
      <c r="MIZ15" s="260"/>
      <c r="MJA15" s="260"/>
      <c r="MJB15" s="260"/>
      <c r="MJC15" s="260"/>
      <c r="MJD15" s="260"/>
      <c r="MJE15" s="260"/>
      <c r="MJF15" s="260"/>
      <c r="MJG15" s="260"/>
      <c r="MJH15" s="260"/>
      <c r="MJI15" s="260"/>
      <c r="MJJ15" s="260"/>
      <c r="MJK15" s="260"/>
      <c r="MJL15" s="260"/>
      <c r="MJM15" s="260"/>
      <c r="MJN15" s="260"/>
      <c r="MJO15" s="260"/>
      <c r="MJP15" s="260"/>
      <c r="MJQ15" s="260"/>
      <c r="MJR15" s="260"/>
      <c r="MJS15" s="260"/>
      <c r="MJT15" s="260"/>
      <c r="MJU15" s="260"/>
      <c r="MJV15" s="260"/>
      <c r="MJW15" s="260"/>
      <c r="MJX15" s="260"/>
      <c r="MJY15" s="260"/>
      <c r="MJZ15" s="260"/>
      <c r="MKA15" s="260"/>
      <c r="MKB15" s="260"/>
      <c r="MKC15" s="260"/>
      <c r="MKD15" s="260"/>
      <c r="MKE15" s="260"/>
      <c r="MKF15" s="260"/>
      <c r="MKG15" s="260"/>
      <c r="MKH15" s="260"/>
      <c r="MKI15" s="260"/>
      <c r="MKJ15" s="260"/>
      <c r="MKK15" s="260"/>
      <c r="MKL15" s="260"/>
      <c r="MKM15" s="260"/>
      <c r="MKN15" s="260"/>
      <c r="MKO15" s="260"/>
      <c r="MKP15" s="260"/>
      <c r="MKQ15" s="260"/>
      <c r="MKR15" s="260"/>
      <c r="MKS15" s="260"/>
      <c r="MKT15" s="260"/>
      <c r="MKU15" s="260"/>
      <c r="MKV15" s="260"/>
      <c r="MKW15" s="260"/>
      <c r="MKX15" s="260"/>
      <c r="MKY15" s="260"/>
      <c r="MKZ15" s="260"/>
      <c r="MLA15" s="260"/>
      <c r="MLB15" s="260"/>
      <c r="MLC15" s="260"/>
      <c r="MLD15" s="260"/>
      <c r="MLE15" s="260"/>
      <c r="MLF15" s="260"/>
      <c r="MLG15" s="260"/>
      <c r="MLH15" s="260"/>
      <c r="MLI15" s="260"/>
      <c r="MLJ15" s="260"/>
      <c r="MLK15" s="260"/>
      <c r="MLL15" s="260"/>
      <c r="MLM15" s="260"/>
      <c r="MLN15" s="260"/>
      <c r="MLO15" s="260"/>
      <c r="MLP15" s="260"/>
      <c r="MLQ15" s="260"/>
      <c r="MLR15" s="260"/>
      <c r="MLS15" s="260"/>
      <c r="MLT15" s="260"/>
      <c r="MLU15" s="260"/>
      <c r="MLV15" s="260"/>
      <c r="MLW15" s="260"/>
      <c r="MLX15" s="260"/>
      <c r="MLY15" s="260"/>
      <c r="MLZ15" s="260"/>
      <c r="MMA15" s="260"/>
      <c r="MMB15" s="260"/>
      <c r="MMC15" s="260"/>
      <c r="MMD15" s="260"/>
      <c r="MME15" s="260"/>
      <c r="MMF15" s="260"/>
      <c r="MMG15" s="260"/>
      <c r="MMH15" s="260"/>
      <c r="MMI15" s="260"/>
      <c r="MMJ15" s="260"/>
      <c r="MMK15" s="260"/>
      <c r="MML15" s="260"/>
      <c r="MMM15" s="260"/>
      <c r="MMN15" s="260"/>
      <c r="MMO15" s="260"/>
      <c r="MMP15" s="260"/>
      <c r="MMQ15" s="260"/>
      <c r="MMR15" s="260"/>
      <c r="MMS15" s="260"/>
      <c r="MMT15" s="260"/>
      <c r="MMU15" s="260"/>
      <c r="MMV15" s="260"/>
      <c r="MMW15" s="260"/>
      <c r="MMX15" s="260"/>
      <c r="MMY15" s="260"/>
      <c r="MMZ15" s="260"/>
      <c r="MNA15" s="260"/>
      <c r="MNB15" s="260"/>
      <c r="MNC15" s="260"/>
      <c r="MND15" s="260"/>
      <c r="MNE15" s="260"/>
      <c r="MNF15" s="260"/>
      <c r="MNG15" s="260"/>
      <c r="MNH15" s="260"/>
      <c r="MNI15" s="260"/>
      <c r="MNJ15" s="260"/>
      <c r="MNK15" s="260"/>
      <c r="MNL15" s="260"/>
      <c r="MNM15" s="260"/>
      <c r="MNN15" s="260"/>
      <c r="MNO15" s="260"/>
      <c r="MNP15" s="260"/>
      <c r="MNQ15" s="260"/>
      <c r="MNR15" s="260"/>
      <c r="MNS15" s="260"/>
      <c r="MNT15" s="260"/>
      <c r="MNU15" s="260"/>
      <c r="MNV15" s="260"/>
      <c r="MNW15" s="260"/>
      <c r="MNX15" s="260"/>
      <c r="MNY15" s="260"/>
      <c r="MNZ15" s="260"/>
      <c r="MOA15" s="260"/>
      <c r="MOB15" s="260"/>
      <c r="MOC15" s="260"/>
      <c r="MOD15" s="260"/>
      <c r="MOE15" s="260"/>
      <c r="MOF15" s="260"/>
      <c r="MOG15" s="260"/>
      <c r="MOH15" s="260"/>
      <c r="MOI15" s="260"/>
      <c r="MOJ15" s="260"/>
      <c r="MOK15" s="260"/>
      <c r="MOL15" s="260"/>
      <c r="MOM15" s="260"/>
      <c r="MON15" s="260"/>
      <c r="MOO15" s="260"/>
      <c r="MOP15" s="260"/>
      <c r="MOQ15" s="260"/>
      <c r="MOR15" s="260"/>
      <c r="MOS15" s="260"/>
      <c r="MOT15" s="260"/>
      <c r="MOU15" s="260"/>
      <c r="MOV15" s="260"/>
      <c r="MOW15" s="260"/>
      <c r="MOX15" s="260"/>
      <c r="MOY15" s="260"/>
      <c r="MOZ15" s="260"/>
      <c r="MPA15" s="260"/>
      <c r="MPB15" s="260"/>
      <c r="MPC15" s="260"/>
      <c r="MPD15" s="260"/>
      <c r="MPE15" s="260"/>
      <c r="MPF15" s="260"/>
      <c r="MPG15" s="260"/>
      <c r="MPH15" s="260"/>
      <c r="MPI15" s="260"/>
      <c r="MPJ15" s="260"/>
      <c r="MPK15" s="260"/>
      <c r="MPL15" s="260"/>
      <c r="MPM15" s="260"/>
      <c r="MPN15" s="260"/>
      <c r="MPO15" s="260"/>
      <c r="MPP15" s="260"/>
      <c r="MPQ15" s="260"/>
      <c r="MPR15" s="260"/>
      <c r="MPS15" s="260"/>
      <c r="MPT15" s="260"/>
      <c r="MPU15" s="260"/>
      <c r="MPV15" s="260"/>
      <c r="MPW15" s="260"/>
      <c r="MPX15" s="260"/>
      <c r="MPY15" s="260"/>
      <c r="MPZ15" s="260"/>
      <c r="MQA15" s="260"/>
      <c r="MQB15" s="260"/>
      <c r="MQC15" s="260"/>
      <c r="MQD15" s="260"/>
      <c r="MQE15" s="260"/>
      <c r="MQF15" s="260"/>
      <c r="MQG15" s="260"/>
      <c r="MQH15" s="260"/>
      <c r="MQI15" s="260"/>
      <c r="MQJ15" s="260"/>
      <c r="MQK15" s="260"/>
      <c r="MQL15" s="260"/>
      <c r="MQM15" s="260"/>
      <c r="MQN15" s="260"/>
      <c r="MQO15" s="260"/>
      <c r="MQP15" s="260"/>
      <c r="MQQ15" s="260"/>
      <c r="MQR15" s="260"/>
      <c r="MQS15" s="260"/>
      <c r="MQT15" s="260"/>
      <c r="MQU15" s="260"/>
      <c r="MQV15" s="260"/>
      <c r="MQW15" s="260"/>
      <c r="MQX15" s="260"/>
      <c r="MQY15" s="260"/>
      <c r="MQZ15" s="260"/>
      <c r="MRA15" s="260"/>
      <c r="MRB15" s="260"/>
      <c r="MRC15" s="260"/>
      <c r="MRD15" s="260"/>
      <c r="MRE15" s="260"/>
      <c r="MRF15" s="260"/>
      <c r="MRG15" s="260"/>
      <c r="MRH15" s="260"/>
      <c r="MRI15" s="260"/>
      <c r="MRJ15" s="260"/>
      <c r="MRK15" s="260"/>
      <c r="MRL15" s="260"/>
      <c r="MRM15" s="260"/>
      <c r="MRN15" s="260"/>
      <c r="MRO15" s="260"/>
      <c r="MRP15" s="260"/>
      <c r="MRQ15" s="260"/>
      <c r="MRR15" s="260"/>
      <c r="MRS15" s="260"/>
      <c r="MRT15" s="260"/>
      <c r="MRU15" s="260"/>
      <c r="MRV15" s="260"/>
      <c r="MRW15" s="260"/>
      <c r="MRX15" s="260"/>
      <c r="MRY15" s="260"/>
      <c r="MRZ15" s="260"/>
      <c r="MSA15" s="260"/>
      <c r="MSB15" s="260"/>
      <c r="MSC15" s="260"/>
      <c r="MSD15" s="260"/>
      <c r="MSE15" s="260"/>
      <c r="MSF15" s="260"/>
      <c r="MSG15" s="260"/>
      <c r="MSH15" s="260"/>
      <c r="MSI15" s="260"/>
      <c r="MSJ15" s="260"/>
      <c r="MSK15" s="260"/>
      <c r="MSL15" s="260"/>
      <c r="MSM15" s="260"/>
      <c r="MSN15" s="260"/>
      <c r="MSO15" s="260"/>
      <c r="MSP15" s="260"/>
      <c r="MSQ15" s="260"/>
      <c r="MSR15" s="260"/>
      <c r="MSS15" s="260"/>
      <c r="MST15" s="260"/>
      <c r="MSU15" s="260"/>
      <c r="MSV15" s="260"/>
      <c r="MSW15" s="260"/>
      <c r="MSX15" s="260"/>
      <c r="MSY15" s="260"/>
      <c r="MSZ15" s="260"/>
      <c r="MTA15" s="260"/>
      <c r="MTB15" s="260"/>
      <c r="MTC15" s="260"/>
      <c r="MTD15" s="260"/>
      <c r="MTE15" s="260"/>
      <c r="MTF15" s="260"/>
      <c r="MTG15" s="260"/>
      <c r="MTH15" s="260"/>
      <c r="MTI15" s="260"/>
      <c r="MTJ15" s="260"/>
      <c r="MTK15" s="260"/>
      <c r="MTL15" s="260"/>
      <c r="MTM15" s="260"/>
      <c r="MTN15" s="260"/>
      <c r="MTO15" s="260"/>
      <c r="MTP15" s="260"/>
      <c r="MTQ15" s="260"/>
      <c r="MTR15" s="260"/>
      <c r="MTS15" s="260"/>
      <c r="MTT15" s="260"/>
      <c r="MTU15" s="260"/>
      <c r="MTV15" s="260"/>
      <c r="MTW15" s="260"/>
      <c r="MTX15" s="260"/>
      <c r="MTY15" s="260"/>
      <c r="MTZ15" s="260"/>
      <c r="MUA15" s="260"/>
      <c r="MUB15" s="260"/>
      <c r="MUC15" s="260"/>
      <c r="MUD15" s="260"/>
      <c r="MUE15" s="260"/>
      <c r="MUF15" s="260"/>
      <c r="MUG15" s="260"/>
      <c r="MUH15" s="260"/>
      <c r="MUI15" s="260"/>
      <c r="MUJ15" s="260"/>
      <c r="MUK15" s="260"/>
      <c r="MUL15" s="260"/>
      <c r="MUM15" s="260"/>
      <c r="MUN15" s="260"/>
      <c r="MUO15" s="260"/>
      <c r="MUP15" s="260"/>
      <c r="MUQ15" s="260"/>
      <c r="MUR15" s="260"/>
      <c r="MUS15" s="260"/>
      <c r="MUT15" s="260"/>
      <c r="MUU15" s="260"/>
      <c r="MUV15" s="260"/>
      <c r="MUW15" s="260"/>
      <c r="MUX15" s="260"/>
      <c r="MUY15" s="260"/>
      <c r="MUZ15" s="260"/>
      <c r="MVA15" s="260"/>
      <c r="MVB15" s="260"/>
      <c r="MVC15" s="260"/>
      <c r="MVD15" s="260"/>
      <c r="MVE15" s="260"/>
      <c r="MVF15" s="260"/>
      <c r="MVG15" s="260"/>
      <c r="MVH15" s="260"/>
      <c r="MVI15" s="260"/>
      <c r="MVJ15" s="260"/>
      <c r="MVK15" s="260"/>
      <c r="MVL15" s="260"/>
      <c r="MVM15" s="260"/>
      <c r="MVN15" s="260"/>
      <c r="MVO15" s="260"/>
      <c r="MVP15" s="260"/>
      <c r="MVQ15" s="260"/>
      <c r="MVR15" s="260"/>
      <c r="MVS15" s="260"/>
      <c r="MVT15" s="260"/>
      <c r="MVU15" s="260"/>
      <c r="MVV15" s="260"/>
      <c r="MVW15" s="260"/>
      <c r="MVX15" s="260"/>
      <c r="MVY15" s="260"/>
      <c r="MVZ15" s="260"/>
      <c r="MWA15" s="260"/>
      <c r="MWB15" s="260"/>
      <c r="MWC15" s="260"/>
      <c r="MWD15" s="260"/>
      <c r="MWE15" s="260"/>
      <c r="MWF15" s="260"/>
      <c r="MWG15" s="260"/>
      <c r="MWH15" s="260"/>
      <c r="MWI15" s="260"/>
      <c r="MWJ15" s="260"/>
      <c r="MWK15" s="260"/>
      <c r="MWL15" s="260"/>
      <c r="MWM15" s="260"/>
      <c r="MWN15" s="260"/>
      <c r="MWO15" s="260"/>
      <c r="MWP15" s="260"/>
      <c r="MWQ15" s="260"/>
      <c r="MWR15" s="260"/>
      <c r="MWS15" s="260"/>
      <c r="MWT15" s="260"/>
      <c r="MWU15" s="260"/>
      <c r="MWV15" s="260"/>
      <c r="MWW15" s="260"/>
      <c r="MWX15" s="260"/>
      <c r="MWY15" s="260"/>
      <c r="MWZ15" s="260"/>
      <c r="MXA15" s="260"/>
      <c r="MXB15" s="260"/>
      <c r="MXC15" s="260"/>
      <c r="MXD15" s="260"/>
      <c r="MXE15" s="260"/>
      <c r="MXF15" s="260"/>
      <c r="MXG15" s="260"/>
      <c r="MXH15" s="260"/>
      <c r="MXI15" s="260"/>
      <c r="MXJ15" s="260"/>
      <c r="MXK15" s="260"/>
      <c r="MXL15" s="260"/>
      <c r="MXM15" s="260"/>
      <c r="MXN15" s="260"/>
      <c r="MXO15" s="260"/>
      <c r="MXP15" s="260"/>
      <c r="MXQ15" s="260"/>
      <c r="MXR15" s="260"/>
      <c r="MXS15" s="260"/>
      <c r="MXT15" s="260"/>
      <c r="MXU15" s="260"/>
      <c r="MXV15" s="260"/>
      <c r="MXW15" s="260"/>
      <c r="MXX15" s="260"/>
      <c r="MXY15" s="260"/>
      <c r="MXZ15" s="260"/>
      <c r="MYA15" s="260"/>
      <c r="MYB15" s="260"/>
      <c r="MYC15" s="260"/>
      <c r="MYD15" s="260"/>
      <c r="MYE15" s="260"/>
      <c r="MYF15" s="260"/>
      <c r="MYG15" s="260"/>
      <c r="MYH15" s="260"/>
      <c r="MYI15" s="260"/>
      <c r="MYJ15" s="260"/>
      <c r="MYK15" s="260"/>
      <c r="MYL15" s="260"/>
      <c r="MYM15" s="260"/>
      <c r="MYN15" s="260"/>
      <c r="MYO15" s="260"/>
      <c r="MYP15" s="260"/>
      <c r="MYQ15" s="260"/>
      <c r="MYR15" s="260"/>
      <c r="MYS15" s="260"/>
      <c r="MYT15" s="260"/>
      <c r="MYU15" s="260"/>
      <c r="MYV15" s="260"/>
      <c r="MYW15" s="260"/>
      <c r="MYX15" s="260"/>
      <c r="MYY15" s="260"/>
      <c r="MYZ15" s="260"/>
      <c r="MZA15" s="260"/>
      <c r="MZB15" s="260"/>
      <c r="MZC15" s="260"/>
      <c r="MZD15" s="260"/>
      <c r="MZE15" s="260"/>
      <c r="MZF15" s="260"/>
      <c r="MZG15" s="260"/>
      <c r="MZH15" s="260"/>
      <c r="MZI15" s="260"/>
      <c r="MZJ15" s="260"/>
      <c r="MZK15" s="260"/>
      <c r="MZL15" s="260"/>
      <c r="MZM15" s="260"/>
      <c r="MZN15" s="260"/>
      <c r="MZO15" s="260"/>
      <c r="MZP15" s="260"/>
      <c r="MZQ15" s="260"/>
      <c r="MZR15" s="260"/>
      <c r="MZS15" s="260"/>
      <c r="MZT15" s="260"/>
      <c r="MZU15" s="260"/>
      <c r="MZV15" s="260"/>
      <c r="MZW15" s="260"/>
      <c r="MZX15" s="260"/>
      <c r="MZY15" s="260"/>
      <c r="MZZ15" s="260"/>
      <c r="NAA15" s="260"/>
      <c r="NAB15" s="260"/>
      <c r="NAC15" s="260"/>
      <c r="NAD15" s="260"/>
      <c r="NAE15" s="260"/>
      <c r="NAF15" s="260"/>
      <c r="NAG15" s="260"/>
      <c r="NAH15" s="260"/>
      <c r="NAI15" s="260"/>
      <c r="NAJ15" s="260"/>
      <c r="NAK15" s="260"/>
      <c r="NAL15" s="260"/>
      <c r="NAM15" s="260"/>
      <c r="NAN15" s="260"/>
      <c r="NAO15" s="260"/>
      <c r="NAP15" s="260"/>
      <c r="NAQ15" s="260"/>
      <c r="NAR15" s="260"/>
      <c r="NAS15" s="260"/>
      <c r="NAT15" s="260"/>
      <c r="NAU15" s="260"/>
      <c r="NAV15" s="260"/>
      <c r="NAW15" s="260"/>
      <c r="NAX15" s="260"/>
      <c r="NAY15" s="260"/>
      <c r="NAZ15" s="260"/>
      <c r="NBA15" s="260"/>
      <c r="NBB15" s="260"/>
      <c r="NBC15" s="260"/>
      <c r="NBD15" s="260"/>
      <c r="NBE15" s="260"/>
      <c r="NBF15" s="260"/>
      <c r="NBG15" s="260"/>
      <c r="NBH15" s="260"/>
      <c r="NBI15" s="260"/>
      <c r="NBJ15" s="260"/>
      <c r="NBK15" s="260"/>
      <c r="NBL15" s="260"/>
      <c r="NBM15" s="260"/>
      <c r="NBN15" s="260"/>
      <c r="NBO15" s="260"/>
      <c r="NBP15" s="260"/>
      <c r="NBQ15" s="260"/>
      <c r="NBR15" s="260"/>
      <c r="NBS15" s="260"/>
      <c r="NBT15" s="260"/>
      <c r="NBU15" s="260"/>
      <c r="NBV15" s="260"/>
      <c r="NBW15" s="260"/>
      <c r="NBX15" s="260"/>
      <c r="NBY15" s="260"/>
      <c r="NBZ15" s="260"/>
      <c r="NCA15" s="260"/>
      <c r="NCB15" s="260"/>
      <c r="NCC15" s="260"/>
      <c r="NCD15" s="260"/>
      <c r="NCE15" s="260"/>
      <c r="NCF15" s="260"/>
      <c r="NCG15" s="260"/>
      <c r="NCH15" s="260"/>
      <c r="NCI15" s="260"/>
      <c r="NCJ15" s="260"/>
      <c r="NCK15" s="260"/>
      <c r="NCL15" s="260"/>
      <c r="NCM15" s="260"/>
      <c r="NCN15" s="260"/>
      <c r="NCO15" s="260"/>
      <c r="NCP15" s="260"/>
      <c r="NCQ15" s="260"/>
      <c r="NCR15" s="260"/>
      <c r="NCS15" s="260"/>
      <c r="NCT15" s="260"/>
      <c r="NCU15" s="260"/>
      <c r="NCV15" s="260"/>
      <c r="NCW15" s="260"/>
      <c r="NCX15" s="260"/>
      <c r="NCY15" s="260"/>
      <c r="NCZ15" s="260"/>
      <c r="NDA15" s="260"/>
      <c r="NDB15" s="260"/>
      <c r="NDC15" s="260"/>
      <c r="NDD15" s="260"/>
      <c r="NDE15" s="260"/>
      <c r="NDF15" s="260"/>
      <c r="NDG15" s="260"/>
      <c r="NDH15" s="260"/>
      <c r="NDI15" s="260"/>
      <c r="NDJ15" s="260"/>
      <c r="NDK15" s="260"/>
      <c r="NDL15" s="260"/>
      <c r="NDM15" s="260"/>
      <c r="NDN15" s="260"/>
      <c r="NDO15" s="260"/>
      <c r="NDP15" s="260"/>
      <c r="NDQ15" s="260"/>
      <c r="NDR15" s="260"/>
      <c r="NDS15" s="260"/>
      <c r="NDT15" s="260"/>
      <c r="NDU15" s="260"/>
      <c r="NDV15" s="260"/>
      <c r="NDW15" s="260"/>
      <c r="NDX15" s="260"/>
      <c r="NDY15" s="260"/>
      <c r="NDZ15" s="260"/>
      <c r="NEA15" s="260"/>
      <c r="NEB15" s="260"/>
      <c r="NEC15" s="260"/>
      <c r="NED15" s="260"/>
      <c r="NEE15" s="260"/>
      <c r="NEF15" s="260"/>
      <c r="NEG15" s="260"/>
      <c r="NEH15" s="260"/>
      <c r="NEI15" s="260"/>
      <c r="NEJ15" s="260"/>
      <c r="NEK15" s="260"/>
      <c r="NEL15" s="260"/>
      <c r="NEM15" s="260"/>
      <c r="NEN15" s="260"/>
      <c r="NEO15" s="260"/>
      <c r="NEP15" s="260"/>
      <c r="NEQ15" s="260"/>
      <c r="NER15" s="260"/>
      <c r="NES15" s="260"/>
      <c r="NET15" s="260"/>
      <c r="NEU15" s="260"/>
      <c r="NEV15" s="260"/>
      <c r="NEW15" s="260"/>
      <c r="NEX15" s="260"/>
      <c r="NEY15" s="260"/>
      <c r="NEZ15" s="260"/>
      <c r="NFA15" s="260"/>
      <c r="NFB15" s="260"/>
      <c r="NFC15" s="260"/>
      <c r="NFD15" s="260"/>
      <c r="NFE15" s="260"/>
      <c r="NFF15" s="260"/>
      <c r="NFG15" s="260"/>
      <c r="NFH15" s="260"/>
      <c r="NFI15" s="260"/>
      <c r="NFJ15" s="260"/>
      <c r="NFK15" s="260"/>
      <c r="NFL15" s="260"/>
      <c r="NFM15" s="260"/>
      <c r="NFN15" s="260"/>
      <c r="NFO15" s="260"/>
      <c r="NFP15" s="260"/>
      <c r="NFQ15" s="260"/>
      <c r="NFR15" s="260"/>
      <c r="NFS15" s="260"/>
      <c r="NFT15" s="260"/>
      <c r="NFU15" s="260"/>
      <c r="NFV15" s="260"/>
      <c r="NFW15" s="260"/>
      <c r="NFX15" s="260"/>
      <c r="NFY15" s="260"/>
      <c r="NFZ15" s="260"/>
      <c r="NGA15" s="260"/>
      <c r="NGB15" s="260"/>
      <c r="NGC15" s="260"/>
      <c r="NGD15" s="260"/>
      <c r="NGE15" s="260"/>
      <c r="NGF15" s="260"/>
      <c r="NGG15" s="260"/>
      <c r="NGH15" s="260"/>
      <c r="NGI15" s="260"/>
      <c r="NGJ15" s="260"/>
      <c r="NGK15" s="260"/>
      <c r="NGL15" s="260"/>
      <c r="NGM15" s="260"/>
      <c r="NGN15" s="260"/>
      <c r="NGO15" s="260"/>
      <c r="NGP15" s="260"/>
      <c r="NGQ15" s="260"/>
      <c r="NGR15" s="260"/>
      <c r="NGS15" s="260"/>
      <c r="NGT15" s="260"/>
      <c r="NGU15" s="260"/>
      <c r="NGV15" s="260"/>
      <c r="NGW15" s="260"/>
      <c r="NGX15" s="260"/>
      <c r="NGY15" s="260"/>
      <c r="NGZ15" s="260"/>
      <c r="NHA15" s="260"/>
      <c r="NHB15" s="260"/>
      <c r="NHC15" s="260"/>
      <c r="NHD15" s="260"/>
      <c r="NHE15" s="260"/>
      <c r="NHF15" s="260"/>
      <c r="NHG15" s="260"/>
      <c r="NHH15" s="260"/>
      <c r="NHI15" s="260"/>
      <c r="NHJ15" s="260"/>
      <c r="NHK15" s="260"/>
      <c r="NHL15" s="260"/>
      <c r="NHM15" s="260"/>
      <c r="NHN15" s="260"/>
      <c r="NHO15" s="260"/>
      <c r="NHP15" s="260"/>
      <c r="NHQ15" s="260"/>
      <c r="NHR15" s="260"/>
      <c r="NHS15" s="260"/>
      <c r="NHT15" s="260"/>
      <c r="NHU15" s="260"/>
      <c r="NHV15" s="260"/>
      <c r="NHW15" s="260"/>
      <c r="NHX15" s="260"/>
      <c r="NHY15" s="260"/>
      <c r="NHZ15" s="260"/>
      <c r="NIA15" s="260"/>
      <c r="NIB15" s="260"/>
      <c r="NIC15" s="260"/>
      <c r="NID15" s="260"/>
      <c r="NIE15" s="260"/>
      <c r="NIF15" s="260"/>
      <c r="NIG15" s="260"/>
      <c r="NIH15" s="260"/>
      <c r="NII15" s="260"/>
      <c r="NIJ15" s="260"/>
      <c r="NIK15" s="260"/>
      <c r="NIL15" s="260"/>
      <c r="NIM15" s="260"/>
      <c r="NIN15" s="260"/>
      <c r="NIO15" s="260"/>
      <c r="NIP15" s="260"/>
      <c r="NIQ15" s="260"/>
      <c r="NIR15" s="260"/>
      <c r="NIS15" s="260"/>
      <c r="NIT15" s="260"/>
      <c r="NIU15" s="260"/>
      <c r="NIV15" s="260"/>
      <c r="NIW15" s="260"/>
      <c r="NIX15" s="260"/>
      <c r="NIY15" s="260"/>
      <c r="NIZ15" s="260"/>
      <c r="NJA15" s="260"/>
      <c r="NJB15" s="260"/>
      <c r="NJC15" s="260"/>
      <c r="NJD15" s="260"/>
      <c r="NJE15" s="260"/>
      <c r="NJF15" s="260"/>
      <c r="NJG15" s="260"/>
      <c r="NJH15" s="260"/>
      <c r="NJI15" s="260"/>
      <c r="NJJ15" s="260"/>
      <c r="NJK15" s="260"/>
      <c r="NJL15" s="260"/>
      <c r="NJM15" s="260"/>
      <c r="NJN15" s="260"/>
      <c r="NJO15" s="260"/>
      <c r="NJP15" s="260"/>
      <c r="NJQ15" s="260"/>
      <c r="NJR15" s="260"/>
      <c r="NJS15" s="260"/>
      <c r="NJT15" s="260"/>
      <c r="NJU15" s="260"/>
      <c r="NJV15" s="260"/>
      <c r="NJW15" s="260"/>
      <c r="NJX15" s="260"/>
      <c r="NJY15" s="260"/>
      <c r="NJZ15" s="260"/>
      <c r="NKA15" s="260"/>
      <c r="NKB15" s="260"/>
      <c r="NKC15" s="260"/>
      <c r="NKD15" s="260"/>
      <c r="NKE15" s="260"/>
      <c r="NKF15" s="260"/>
      <c r="NKG15" s="260"/>
      <c r="NKH15" s="260"/>
      <c r="NKI15" s="260"/>
      <c r="NKJ15" s="260"/>
      <c r="NKK15" s="260"/>
      <c r="NKL15" s="260"/>
      <c r="NKM15" s="260"/>
      <c r="NKN15" s="260"/>
      <c r="NKO15" s="260"/>
      <c r="NKP15" s="260"/>
      <c r="NKQ15" s="260"/>
      <c r="NKR15" s="260"/>
      <c r="NKS15" s="260"/>
      <c r="NKT15" s="260"/>
      <c r="NKU15" s="260"/>
      <c r="NKV15" s="260"/>
      <c r="NKW15" s="260"/>
      <c r="NKX15" s="260"/>
      <c r="NKY15" s="260"/>
      <c r="NKZ15" s="260"/>
      <c r="NLA15" s="260"/>
      <c r="NLB15" s="260"/>
      <c r="NLC15" s="260"/>
      <c r="NLD15" s="260"/>
      <c r="NLE15" s="260"/>
      <c r="NLF15" s="260"/>
      <c r="NLG15" s="260"/>
      <c r="NLH15" s="260"/>
      <c r="NLI15" s="260"/>
      <c r="NLJ15" s="260"/>
      <c r="NLK15" s="260"/>
      <c r="NLL15" s="260"/>
      <c r="NLM15" s="260"/>
      <c r="NLN15" s="260"/>
      <c r="NLO15" s="260"/>
      <c r="NLP15" s="260"/>
      <c r="NLQ15" s="260"/>
      <c r="NLR15" s="260"/>
      <c r="NLS15" s="260"/>
      <c r="NLT15" s="260"/>
      <c r="NLU15" s="260"/>
      <c r="NLV15" s="260"/>
      <c r="NLW15" s="260"/>
      <c r="NLX15" s="260"/>
      <c r="NLY15" s="260"/>
      <c r="NLZ15" s="260"/>
      <c r="NMA15" s="260"/>
      <c r="NMB15" s="260"/>
      <c r="NMC15" s="260"/>
      <c r="NMD15" s="260"/>
      <c r="NME15" s="260"/>
      <c r="NMF15" s="260"/>
      <c r="NMG15" s="260"/>
      <c r="NMH15" s="260"/>
      <c r="NMI15" s="260"/>
      <c r="NMJ15" s="260"/>
      <c r="NMK15" s="260"/>
      <c r="NML15" s="260"/>
      <c r="NMM15" s="260"/>
      <c r="NMN15" s="260"/>
      <c r="NMO15" s="260"/>
      <c r="NMP15" s="260"/>
      <c r="NMQ15" s="260"/>
      <c r="NMR15" s="260"/>
      <c r="NMS15" s="260"/>
      <c r="NMT15" s="260"/>
      <c r="NMU15" s="260"/>
      <c r="NMV15" s="260"/>
      <c r="NMW15" s="260"/>
      <c r="NMX15" s="260"/>
      <c r="NMY15" s="260"/>
      <c r="NMZ15" s="260"/>
      <c r="NNA15" s="260"/>
      <c r="NNB15" s="260"/>
      <c r="NNC15" s="260"/>
      <c r="NND15" s="260"/>
      <c r="NNE15" s="260"/>
      <c r="NNF15" s="260"/>
      <c r="NNG15" s="260"/>
      <c r="NNH15" s="260"/>
      <c r="NNI15" s="260"/>
      <c r="NNJ15" s="260"/>
      <c r="NNK15" s="260"/>
      <c r="NNL15" s="260"/>
      <c r="NNM15" s="260"/>
      <c r="NNN15" s="260"/>
      <c r="NNO15" s="260"/>
      <c r="NNP15" s="260"/>
      <c r="NNQ15" s="260"/>
      <c r="NNR15" s="260"/>
      <c r="NNS15" s="260"/>
      <c r="NNT15" s="260"/>
      <c r="NNU15" s="260"/>
      <c r="NNV15" s="260"/>
      <c r="NNW15" s="260"/>
      <c r="NNX15" s="260"/>
      <c r="NNY15" s="260"/>
      <c r="NNZ15" s="260"/>
      <c r="NOA15" s="260"/>
      <c r="NOB15" s="260"/>
      <c r="NOC15" s="260"/>
      <c r="NOD15" s="260"/>
      <c r="NOE15" s="260"/>
      <c r="NOF15" s="260"/>
      <c r="NOG15" s="260"/>
      <c r="NOH15" s="260"/>
      <c r="NOI15" s="260"/>
      <c r="NOJ15" s="260"/>
      <c r="NOK15" s="260"/>
      <c r="NOL15" s="260"/>
      <c r="NOM15" s="260"/>
      <c r="NON15" s="260"/>
      <c r="NOO15" s="260"/>
      <c r="NOP15" s="260"/>
      <c r="NOQ15" s="260"/>
      <c r="NOR15" s="260"/>
      <c r="NOS15" s="260"/>
      <c r="NOT15" s="260"/>
      <c r="NOU15" s="260"/>
      <c r="NOV15" s="260"/>
      <c r="NOW15" s="260"/>
      <c r="NOX15" s="260"/>
      <c r="NOY15" s="260"/>
      <c r="NOZ15" s="260"/>
      <c r="NPA15" s="260"/>
      <c r="NPB15" s="260"/>
      <c r="NPC15" s="260"/>
      <c r="NPD15" s="260"/>
      <c r="NPE15" s="260"/>
      <c r="NPF15" s="260"/>
      <c r="NPG15" s="260"/>
      <c r="NPH15" s="260"/>
      <c r="NPI15" s="260"/>
      <c r="NPJ15" s="260"/>
      <c r="NPK15" s="260"/>
      <c r="NPL15" s="260"/>
      <c r="NPM15" s="260"/>
      <c r="NPN15" s="260"/>
      <c r="NPO15" s="260"/>
      <c r="NPP15" s="260"/>
      <c r="NPQ15" s="260"/>
      <c r="NPR15" s="260"/>
      <c r="NPS15" s="260"/>
      <c r="NPT15" s="260"/>
      <c r="NPU15" s="260"/>
      <c r="NPV15" s="260"/>
      <c r="NPW15" s="260"/>
      <c r="NPX15" s="260"/>
      <c r="NPY15" s="260"/>
      <c r="NPZ15" s="260"/>
      <c r="NQA15" s="260"/>
      <c r="NQB15" s="260"/>
      <c r="NQC15" s="260"/>
      <c r="NQD15" s="260"/>
      <c r="NQE15" s="260"/>
      <c r="NQF15" s="260"/>
      <c r="NQG15" s="260"/>
      <c r="NQH15" s="260"/>
      <c r="NQI15" s="260"/>
      <c r="NQJ15" s="260"/>
      <c r="NQK15" s="260"/>
      <c r="NQL15" s="260"/>
      <c r="NQM15" s="260"/>
      <c r="NQN15" s="260"/>
      <c r="NQO15" s="260"/>
      <c r="NQP15" s="260"/>
      <c r="NQQ15" s="260"/>
      <c r="NQR15" s="260"/>
      <c r="NQS15" s="260"/>
      <c r="NQT15" s="260"/>
      <c r="NQU15" s="260"/>
      <c r="NQV15" s="260"/>
      <c r="NQW15" s="260"/>
      <c r="NQX15" s="260"/>
      <c r="NQY15" s="260"/>
      <c r="NQZ15" s="260"/>
      <c r="NRA15" s="260"/>
      <c r="NRB15" s="260"/>
      <c r="NRC15" s="260"/>
      <c r="NRD15" s="260"/>
      <c r="NRE15" s="260"/>
      <c r="NRF15" s="260"/>
      <c r="NRG15" s="260"/>
      <c r="NRH15" s="260"/>
      <c r="NRI15" s="260"/>
      <c r="NRJ15" s="260"/>
      <c r="NRK15" s="260"/>
      <c r="NRL15" s="260"/>
      <c r="NRM15" s="260"/>
      <c r="NRN15" s="260"/>
      <c r="NRO15" s="260"/>
      <c r="NRP15" s="260"/>
      <c r="NRQ15" s="260"/>
      <c r="NRR15" s="260"/>
      <c r="NRS15" s="260"/>
      <c r="NRT15" s="260"/>
      <c r="NRU15" s="260"/>
      <c r="NRV15" s="260"/>
      <c r="NRW15" s="260"/>
      <c r="NRX15" s="260"/>
      <c r="NRY15" s="260"/>
      <c r="NRZ15" s="260"/>
      <c r="NSA15" s="260"/>
      <c r="NSB15" s="260"/>
      <c r="NSC15" s="260"/>
      <c r="NSD15" s="260"/>
      <c r="NSE15" s="260"/>
      <c r="NSF15" s="260"/>
      <c r="NSG15" s="260"/>
      <c r="NSH15" s="260"/>
      <c r="NSI15" s="260"/>
      <c r="NSJ15" s="260"/>
      <c r="NSK15" s="260"/>
      <c r="NSL15" s="260"/>
      <c r="NSM15" s="260"/>
      <c r="NSN15" s="260"/>
      <c r="NSO15" s="260"/>
      <c r="NSP15" s="260"/>
      <c r="NSQ15" s="260"/>
      <c r="NSR15" s="260"/>
      <c r="NSS15" s="260"/>
      <c r="NST15" s="260"/>
      <c r="NSU15" s="260"/>
      <c r="NSV15" s="260"/>
      <c r="NSW15" s="260"/>
      <c r="NSX15" s="260"/>
      <c r="NSY15" s="260"/>
      <c r="NSZ15" s="260"/>
      <c r="NTA15" s="260"/>
      <c r="NTB15" s="260"/>
      <c r="NTC15" s="260"/>
      <c r="NTD15" s="260"/>
      <c r="NTE15" s="260"/>
      <c r="NTF15" s="260"/>
      <c r="NTG15" s="260"/>
      <c r="NTH15" s="260"/>
      <c r="NTI15" s="260"/>
      <c r="NTJ15" s="260"/>
      <c r="NTK15" s="260"/>
      <c r="NTL15" s="260"/>
      <c r="NTM15" s="260"/>
      <c r="NTN15" s="260"/>
      <c r="NTO15" s="260"/>
      <c r="NTP15" s="260"/>
      <c r="NTQ15" s="260"/>
      <c r="NTR15" s="260"/>
      <c r="NTS15" s="260"/>
      <c r="NTT15" s="260"/>
      <c r="NTU15" s="260"/>
      <c r="NTV15" s="260"/>
      <c r="NTW15" s="260"/>
      <c r="NTX15" s="260"/>
      <c r="NTY15" s="260"/>
      <c r="NTZ15" s="260"/>
      <c r="NUA15" s="260"/>
      <c r="NUB15" s="260"/>
      <c r="NUC15" s="260"/>
      <c r="NUD15" s="260"/>
      <c r="NUE15" s="260"/>
      <c r="NUF15" s="260"/>
      <c r="NUG15" s="260"/>
      <c r="NUH15" s="260"/>
      <c r="NUI15" s="260"/>
      <c r="NUJ15" s="260"/>
      <c r="NUK15" s="260"/>
      <c r="NUL15" s="260"/>
      <c r="NUM15" s="260"/>
      <c r="NUN15" s="260"/>
      <c r="NUO15" s="260"/>
      <c r="NUP15" s="260"/>
      <c r="NUQ15" s="260"/>
      <c r="NUR15" s="260"/>
      <c r="NUS15" s="260"/>
      <c r="NUT15" s="260"/>
      <c r="NUU15" s="260"/>
      <c r="NUV15" s="260"/>
      <c r="NUW15" s="260"/>
      <c r="NUX15" s="260"/>
      <c r="NUY15" s="260"/>
      <c r="NUZ15" s="260"/>
      <c r="NVA15" s="260"/>
      <c r="NVB15" s="260"/>
      <c r="NVC15" s="260"/>
      <c r="NVD15" s="260"/>
      <c r="NVE15" s="260"/>
      <c r="NVF15" s="260"/>
      <c r="NVG15" s="260"/>
      <c r="NVH15" s="260"/>
      <c r="NVI15" s="260"/>
      <c r="NVJ15" s="260"/>
      <c r="NVK15" s="260"/>
      <c r="NVL15" s="260"/>
      <c r="NVM15" s="260"/>
      <c r="NVN15" s="260"/>
      <c r="NVO15" s="260"/>
      <c r="NVP15" s="260"/>
      <c r="NVQ15" s="260"/>
      <c r="NVR15" s="260"/>
      <c r="NVS15" s="260"/>
      <c r="NVT15" s="260"/>
      <c r="NVU15" s="260"/>
      <c r="NVV15" s="260"/>
      <c r="NVW15" s="260"/>
      <c r="NVX15" s="260"/>
      <c r="NVY15" s="260"/>
      <c r="NVZ15" s="260"/>
      <c r="NWA15" s="260"/>
      <c r="NWB15" s="260"/>
      <c r="NWC15" s="260"/>
      <c r="NWD15" s="260"/>
      <c r="NWE15" s="260"/>
      <c r="NWF15" s="260"/>
      <c r="NWG15" s="260"/>
      <c r="NWH15" s="260"/>
      <c r="NWI15" s="260"/>
      <c r="NWJ15" s="260"/>
      <c r="NWK15" s="260"/>
      <c r="NWL15" s="260"/>
      <c r="NWM15" s="260"/>
      <c r="NWN15" s="260"/>
      <c r="NWO15" s="260"/>
      <c r="NWP15" s="260"/>
      <c r="NWQ15" s="260"/>
      <c r="NWR15" s="260"/>
      <c r="NWS15" s="260"/>
      <c r="NWT15" s="260"/>
      <c r="NWU15" s="260"/>
      <c r="NWV15" s="260"/>
      <c r="NWW15" s="260"/>
      <c r="NWX15" s="260"/>
      <c r="NWY15" s="260"/>
      <c r="NWZ15" s="260"/>
      <c r="NXA15" s="260"/>
      <c r="NXB15" s="260"/>
      <c r="NXC15" s="260"/>
      <c r="NXD15" s="260"/>
      <c r="NXE15" s="260"/>
      <c r="NXF15" s="260"/>
      <c r="NXG15" s="260"/>
      <c r="NXH15" s="260"/>
      <c r="NXI15" s="260"/>
      <c r="NXJ15" s="260"/>
      <c r="NXK15" s="260"/>
      <c r="NXL15" s="260"/>
      <c r="NXM15" s="260"/>
      <c r="NXN15" s="260"/>
      <c r="NXO15" s="260"/>
      <c r="NXP15" s="260"/>
      <c r="NXQ15" s="260"/>
      <c r="NXR15" s="260"/>
      <c r="NXS15" s="260"/>
      <c r="NXT15" s="260"/>
      <c r="NXU15" s="260"/>
      <c r="NXV15" s="260"/>
      <c r="NXW15" s="260"/>
      <c r="NXX15" s="260"/>
      <c r="NXY15" s="260"/>
      <c r="NXZ15" s="260"/>
      <c r="NYA15" s="260"/>
      <c r="NYB15" s="260"/>
      <c r="NYC15" s="260"/>
      <c r="NYD15" s="260"/>
      <c r="NYE15" s="260"/>
      <c r="NYF15" s="260"/>
      <c r="NYG15" s="260"/>
      <c r="NYH15" s="260"/>
      <c r="NYI15" s="260"/>
      <c r="NYJ15" s="260"/>
      <c r="NYK15" s="260"/>
      <c r="NYL15" s="260"/>
      <c r="NYM15" s="260"/>
      <c r="NYN15" s="260"/>
      <c r="NYO15" s="260"/>
      <c r="NYP15" s="260"/>
      <c r="NYQ15" s="260"/>
      <c r="NYR15" s="260"/>
      <c r="NYS15" s="260"/>
      <c r="NYT15" s="260"/>
      <c r="NYU15" s="260"/>
      <c r="NYV15" s="260"/>
      <c r="NYW15" s="260"/>
      <c r="NYX15" s="260"/>
      <c r="NYY15" s="260"/>
      <c r="NYZ15" s="260"/>
      <c r="NZA15" s="260"/>
      <c r="NZB15" s="260"/>
      <c r="NZC15" s="260"/>
      <c r="NZD15" s="260"/>
      <c r="NZE15" s="260"/>
      <c r="NZF15" s="260"/>
      <c r="NZG15" s="260"/>
      <c r="NZH15" s="260"/>
      <c r="NZI15" s="260"/>
      <c r="NZJ15" s="260"/>
      <c r="NZK15" s="260"/>
      <c r="NZL15" s="260"/>
      <c r="NZM15" s="260"/>
      <c r="NZN15" s="260"/>
      <c r="NZO15" s="260"/>
      <c r="NZP15" s="260"/>
      <c r="NZQ15" s="260"/>
      <c r="NZR15" s="260"/>
      <c r="NZS15" s="260"/>
      <c r="NZT15" s="260"/>
      <c r="NZU15" s="260"/>
      <c r="NZV15" s="260"/>
      <c r="NZW15" s="260"/>
      <c r="NZX15" s="260"/>
      <c r="NZY15" s="260"/>
      <c r="NZZ15" s="260"/>
      <c r="OAA15" s="260"/>
      <c r="OAB15" s="260"/>
      <c r="OAC15" s="260"/>
      <c r="OAD15" s="260"/>
      <c r="OAE15" s="260"/>
      <c r="OAF15" s="260"/>
      <c r="OAG15" s="260"/>
      <c r="OAH15" s="260"/>
      <c r="OAI15" s="260"/>
      <c r="OAJ15" s="260"/>
      <c r="OAK15" s="260"/>
      <c r="OAL15" s="260"/>
      <c r="OAM15" s="260"/>
      <c r="OAN15" s="260"/>
      <c r="OAO15" s="260"/>
      <c r="OAP15" s="260"/>
      <c r="OAQ15" s="260"/>
      <c r="OAR15" s="260"/>
      <c r="OAS15" s="260"/>
      <c r="OAT15" s="260"/>
      <c r="OAU15" s="260"/>
      <c r="OAV15" s="260"/>
      <c r="OAW15" s="260"/>
      <c r="OAX15" s="260"/>
      <c r="OAY15" s="260"/>
      <c r="OAZ15" s="260"/>
      <c r="OBA15" s="260"/>
      <c r="OBB15" s="260"/>
      <c r="OBC15" s="260"/>
      <c r="OBD15" s="260"/>
      <c r="OBE15" s="260"/>
      <c r="OBF15" s="260"/>
      <c r="OBG15" s="260"/>
      <c r="OBH15" s="260"/>
      <c r="OBI15" s="260"/>
      <c r="OBJ15" s="260"/>
      <c r="OBK15" s="260"/>
      <c r="OBL15" s="260"/>
      <c r="OBM15" s="260"/>
      <c r="OBN15" s="260"/>
      <c r="OBO15" s="260"/>
      <c r="OBP15" s="260"/>
      <c r="OBQ15" s="260"/>
      <c r="OBR15" s="260"/>
      <c r="OBS15" s="260"/>
      <c r="OBT15" s="260"/>
      <c r="OBU15" s="260"/>
      <c r="OBV15" s="260"/>
      <c r="OBW15" s="260"/>
      <c r="OBX15" s="260"/>
      <c r="OBY15" s="260"/>
      <c r="OBZ15" s="260"/>
      <c r="OCA15" s="260"/>
      <c r="OCB15" s="260"/>
      <c r="OCC15" s="260"/>
      <c r="OCD15" s="260"/>
      <c r="OCE15" s="260"/>
      <c r="OCF15" s="260"/>
      <c r="OCG15" s="260"/>
      <c r="OCH15" s="260"/>
      <c r="OCI15" s="260"/>
      <c r="OCJ15" s="260"/>
      <c r="OCK15" s="260"/>
      <c r="OCL15" s="260"/>
      <c r="OCM15" s="260"/>
      <c r="OCN15" s="260"/>
      <c r="OCO15" s="260"/>
      <c r="OCP15" s="260"/>
      <c r="OCQ15" s="260"/>
      <c r="OCR15" s="260"/>
      <c r="OCS15" s="260"/>
      <c r="OCT15" s="260"/>
      <c r="OCU15" s="260"/>
      <c r="OCV15" s="260"/>
      <c r="OCW15" s="260"/>
      <c r="OCX15" s="260"/>
      <c r="OCY15" s="260"/>
      <c r="OCZ15" s="260"/>
      <c r="ODA15" s="260"/>
      <c r="ODB15" s="260"/>
      <c r="ODC15" s="260"/>
      <c r="ODD15" s="260"/>
      <c r="ODE15" s="260"/>
      <c r="ODF15" s="260"/>
      <c r="ODG15" s="260"/>
      <c r="ODH15" s="260"/>
      <c r="ODI15" s="260"/>
      <c r="ODJ15" s="260"/>
      <c r="ODK15" s="260"/>
      <c r="ODL15" s="260"/>
      <c r="ODM15" s="260"/>
      <c r="ODN15" s="260"/>
      <c r="ODO15" s="260"/>
      <c r="ODP15" s="260"/>
      <c r="ODQ15" s="260"/>
      <c r="ODR15" s="260"/>
      <c r="ODS15" s="260"/>
      <c r="ODT15" s="260"/>
      <c r="ODU15" s="260"/>
      <c r="ODV15" s="260"/>
      <c r="ODW15" s="260"/>
      <c r="ODX15" s="260"/>
      <c r="ODY15" s="260"/>
      <c r="ODZ15" s="260"/>
      <c r="OEA15" s="260"/>
      <c r="OEB15" s="260"/>
      <c r="OEC15" s="260"/>
      <c r="OED15" s="260"/>
      <c r="OEE15" s="260"/>
      <c r="OEF15" s="260"/>
      <c r="OEG15" s="260"/>
      <c r="OEH15" s="260"/>
      <c r="OEI15" s="260"/>
      <c r="OEJ15" s="260"/>
      <c r="OEK15" s="260"/>
      <c r="OEL15" s="260"/>
      <c r="OEM15" s="260"/>
      <c r="OEN15" s="260"/>
      <c r="OEO15" s="260"/>
      <c r="OEP15" s="260"/>
      <c r="OEQ15" s="260"/>
      <c r="OER15" s="260"/>
      <c r="OES15" s="260"/>
      <c r="OET15" s="260"/>
      <c r="OEU15" s="260"/>
      <c r="OEV15" s="260"/>
      <c r="OEW15" s="260"/>
      <c r="OEX15" s="260"/>
      <c r="OEY15" s="260"/>
      <c r="OEZ15" s="260"/>
      <c r="OFA15" s="260"/>
      <c r="OFB15" s="260"/>
      <c r="OFC15" s="260"/>
      <c r="OFD15" s="260"/>
      <c r="OFE15" s="260"/>
      <c r="OFF15" s="260"/>
      <c r="OFG15" s="260"/>
      <c r="OFH15" s="260"/>
      <c r="OFI15" s="260"/>
      <c r="OFJ15" s="260"/>
      <c r="OFK15" s="260"/>
      <c r="OFL15" s="260"/>
      <c r="OFM15" s="260"/>
      <c r="OFN15" s="260"/>
      <c r="OFO15" s="260"/>
      <c r="OFP15" s="260"/>
      <c r="OFQ15" s="260"/>
      <c r="OFR15" s="260"/>
      <c r="OFS15" s="260"/>
      <c r="OFT15" s="260"/>
      <c r="OFU15" s="260"/>
      <c r="OFV15" s="260"/>
      <c r="OFW15" s="260"/>
      <c r="OFX15" s="260"/>
      <c r="OFY15" s="260"/>
      <c r="OFZ15" s="260"/>
      <c r="OGA15" s="260"/>
      <c r="OGB15" s="260"/>
      <c r="OGC15" s="260"/>
      <c r="OGD15" s="260"/>
      <c r="OGE15" s="260"/>
      <c r="OGF15" s="260"/>
      <c r="OGG15" s="260"/>
      <c r="OGH15" s="260"/>
      <c r="OGI15" s="260"/>
      <c r="OGJ15" s="260"/>
      <c r="OGK15" s="260"/>
      <c r="OGL15" s="260"/>
      <c r="OGM15" s="260"/>
      <c r="OGN15" s="260"/>
      <c r="OGO15" s="260"/>
      <c r="OGP15" s="260"/>
      <c r="OGQ15" s="260"/>
      <c r="OGR15" s="260"/>
      <c r="OGS15" s="260"/>
      <c r="OGT15" s="260"/>
      <c r="OGU15" s="260"/>
      <c r="OGV15" s="260"/>
      <c r="OGW15" s="260"/>
      <c r="OGX15" s="260"/>
      <c r="OGY15" s="260"/>
      <c r="OGZ15" s="260"/>
      <c r="OHA15" s="260"/>
      <c r="OHB15" s="260"/>
      <c r="OHC15" s="260"/>
      <c r="OHD15" s="260"/>
      <c r="OHE15" s="260"/>
      <c r="OHF15" s="260"/>
      <c r="OHG15" s="260"/>
      <c r="OHH15" s="260"/>
      <c r="OHI15" s="260"/>
      <c r="OHJ15" s="260"/>
      <c r="OHK15" s="260"/>
      <c r="OHL15" s="260"/>
      <c r="OHM15" s="260"/>
      <c r="OHN15" s="260"/>
      <c r="OHO15" s="260"/>
      <c r="OHP15" s="260"/>
      <c r="OHQ15" s="260"/>
      <c r="OHR15" s="260"/>
      <c r="OHS15" s="260"/>
      <c r="OHT15" s="260"/>
      <c r="OHU15" s="260"/>
      <c r="OHV15" s="260"/>
      <c r="OHW15" s="260"/>
      <c r="OHX15" s="260"/>
      <c r="OHY15" s="260"/>
      <c r="OHZ15" s="260"/>
      <c r="OIA15" s="260"/>
      <c r="OIB15" s="260"/>
      <c r="OIC15" s="260"/>
      <c r="OID15" s="260"/>
      <c r="OIE15" s="260"/>
      <c r="OIF15" s="260"/>
      <c r="OIG15" s="260"/>
      <c r="OIH15" s="260"/>
      <c r="OII15" s="260"/>
      <c r="OIJ15" s="260"/>
      <c r="OIK15" s="260"/>
      <c r="OIL15" s="260"/>
      <c r="OIM15" s="260"/>
      <c r="OIN15" s="260"/>
      <c r="OIO15" s="260"/>
      <c r="OIP15" s="260"/>
      <c r="OIQ15" s="260"/>
      <c r="OIR15" s="260"/>
      <c r="OIS15" s="260"/>
      <c r="OIT15" s="260"/>
      <c r="OIU15" s="260"/>
      <c r="OIV15" s="260"/>
      <c r="OIW15" s="260"/>
      <c r="OIX15" s="260"/>
      <c r="OIY15" s="260"/>
      <c r="OIZ15" s="260"/>
      <c r="OJA15" s="260"/>
      <c r="OJB15" s="260"/>
      <c r="OJC15" s="260"/>
      <c r="OJD15" s="260"/>
      <c r="OJE15" s="260"/>
      <c r="OJF15" s="260"/>
      <c r="OJG15" s="260"/>
      <c r="OJH15" s="260"/>
      <c r="OJI15" s="260"/>
      <c r="OJJ15" s="260"/>
      <c r="OJK15" s="260"/>
      <c r="OJL15" s="260"/>
      <c r="OJM15" s="260"/>
      <c r="OJN15" s="260"/>
      <c r="OJO15" s="260"/>
      <c r="OJP15" s="260"/>
      <c r="OJQ15" s="260"/>
      <c r="OJR15" s="260"/>
      <c r="OJS15" s="260"/>
      <c r="OJT15" s="260"/>
      <c r="OJU15" s="260"/>
      <c r="OJV15" s="260"/>
      <c r="OJW15" s="260"/>
      <c r="OJX15" s="260"/>
      <c r="OJY15" s="260"/>
      <c r="OJZ15" s="260"/>
      <c r="OKA15" s="260"/>
      <c r="OKB15" s="260"/>
      <c r="OKC15" s="260"/>
      <c r="OKD15" s="260"/>
      <c r="OKE15" s="260"/>
      <c r="OKF15" s="260"/>
      <c r="OKG15" s="260"/>
      <c r="OKH15" s="260"/>
      <c r="OKI15" s="260"/>
      <c r="OKJ15" s="260"/>
      <c r="OKK15" s="260"/>
      <c r="OKL15" s="260"/>
      <c r="OKM15" s="260"/>
      <c r="OKN15" s="260"/>
      <c r="OKO15" s="260"/>
      <c r="OKP15" s="260"/>
      <c r="OKQ15" s="260"/>
      <c r="OKR15" s="260"/>
      <c r="OKS15" s="260"/>
      <c r="OKT15" s="260"/>
      <c r="OKU15" s="260"/>
      <c r="OKV15" s="260"/>
      <c r="OKW15" s="260"/>
      <c r="OKX15" s="260"/>
      <c r="OKY15" s="260"/>
      <c r="OKZ15" s="260"/>
      <c r="OLA15" s="260"/>
      <c r="OLB15" s="260"/>
      <c r="OLC15" s="260"/>
      <c r="OLD15" s="260"/>
      <c r="OLE15" s="260"/>
      <c r="OLF15" s="260"/>
      <c r="OLG15" s="260"/>
      <c r="OLH15" s="260"/>
      <c r="OLI15" s="260"/>
      <c r="OLJ15" s="260"/>
      <c r="OLK15" s="260"/>
      <c r="OLL15" s="260"/>
      <c r="OLM15" s="260"/>
      <c r="OLN15" s="260"/>
      <c r="OLO15" s="260"/>
      <c r="OLP15" s="260"/>
      <c r="OLQ15" s="260"/>
      <c r="OLR15" s="260"/>
      <c r="OLS15" s="260"/>
      <c r="OLT15" s="260"/>
      <c r="OLU15" s="260"/>
      <c r="OLV15" s="260"/>
      <c r="OLW15" s="260"/>
      <c r="OLX15" s="260"/>
      <c r="OLY15" s="260"/>
      <c r="OLZ15" s="260"/>
      <c r="OMA15" s="260"/>
      <c r="OMB15" s="260"/>
      <c r="OMC15" s="260"/>
      <c r="OMD15" s="260"/>
      <c r="OME15" s="260"/>
      <c r="OMF15" s="260"/>
      <c r="OMG15" s="260"/>
      <c r="OMH15" s="260"/>
      <c r="OMI15" s="260"/>
      <c r="OMJ15" s="260"/>
      <c r="OMK15" s="260"/>
      <c r="OML15" s="260"/>
      <c r="OMM15" s="260"/>
      <c r="OMN15" s="260"/>
      <c r="OMO15" s="260"/>
      <c r="OMP15" s="260"/>
      <c r="OMQ15" s="260"/>
      <c r="OMR15" s="260"/>
      <c r="OMS15" s="260"/>
      <c r="OMT15" s="260"/>
      <c r="OMU15" s="260"/>
      <c r="OMV15" s="260"/>
      <c r="OMW15" s="260"/>
      <c r="OMX15" s="260"/>
      <c r="OMY15" s="260"/>
      <c r="OMZ15" s="260"/>
      <c r="ONA15" s="260"/>
      <c r="ONB15" s="260"/>
      <c r="ONC15" s="260"/>
      <c r="OND15" s="260"/>
      <c r="ONE15" s="260"/>
      <c r="ONF15" s="260"/>
      <c r="ONG15" s="260"/>
      <c r="ONH15" s="260"/>
      <c r="ONI15" s="260"/>
      <c r="ONJ15" s="260"/>
      <c r="ONK15" s="260"/>
      <c r="ONL15" s="260"/>
      <c r="ONM15" s="260"/>
      <c r="ONN15" s="260"/>
      <c r="ONO15" s="260"/>
      <c r="ONP15" s="260"/>
      <c r="ONQ15" s="260"/>
      <c r="ONR15" s="260"/>
      <c r="ONS15" s="260"/>
      <c r="ONT15" s="260"/>
      <c r="ONU15" s="260"/>
      <c r="ONV15" s="260"/>
      <c r="ONW15" s="260"/>
      <c r="ONX15" s="260"/>
      <c r="ONY15" s="260"/>
      <c r="ONZ15" s="260"/>
      <c r="OOA15" s="260"/>
      <c r="OOB15" s="260"/>
      <c r="OOC15" s="260"/>
      <c r="OOD15" s="260"/>
      <c r="OOE15" s="260"/>
      <c r="OOF15" s="260"/>
      <c r="OOG15" s="260"/>
      <c r="OOH15" s="260"/>
      <c r="OOI15" s="260"/>
      <c r="OOJ15" s="260"/>
      <c r="OOK15" s="260"/>
      <c r="OOL15" s="260"/>
      <c r="OOM15" s="260"/>
      <c r="OON15" s="260"/>
      <c r="OOO15" s="260"/>
      <c r="OOP15" s="260"/>
      <c r="OOQ15" s="260"/>
      <c r="OOR15" s="260"/>
      <c r="OOS15" s="260"/>
      <c r="OOT15" s="260"/>
      <c r="OOU15" s="260"/>
      <c r="OOV15" s="260"/>
      <c r="OOW15" s="260"/>
      <c r="OOX15" s="260"/>
      <c r="OOY15" s="260"/>
      <c r="OOZ15" s="260"/>
      <c r="OPA15" s="260"/>
      <c r="OPB15" s="260"/>
      <c r="OPC15" s="260"/>
      <c r="OPD15" s="260"/>
      <c r="OPE15" s="260"/>
      <c r="OPF15" s="260"/>
      <c r="OPG15" s="260"/>
      <c r="OPH15" s="260"/>
      <c r="OPI15" s="260"/>
      <c r="OPJ15" s="260"/>
      <c r="OPK15" s="260"/>
      <c r="OPL15" s="260"/>
      <c r="OPM15" s="260"/>
      <c r="OPN15" s="260"/>
      <c r="OPO15" s="260"/>
      <c r="OPP15" s="260"/>
      <c r="OPQ15" s="260"/>
      <c r="OPR15" s="260"/>
      <c r="OPS15" s="260"/>
      <c r="OPT15" s="260"/>
      <c r="OPU15" s="260"/>
      <c r="OPV15" s="260"/>
      <c r="OPW15" s="260"/>
      <c r="OPX15" s="260"/>
      <c r="OPY15" s="260"/>
      <c r="OPZ15" s="260"/>
      <c r="OQA15" s="260"/>
      <c r="OQB15" s="260"/>
      <c r="OQC15" s="260"/>
      <c r="OQD15" s="260"/>
      <c r="OQE15" s="260"/>
      <c r="OQF15" s="260"/>
      <c r="OQG15" s="260"/>
      <c r="OQH15" s="260"/>
      <c r="OQI15" s="260"/>
      <c r="OQJ15" s="260"/>
      <c r="OQK15" s="260"/>
      <c r="OQL15" s="260"/>
      <c r="OQM15" s="260"/>
      <c r="OQN15" s="260"/>
      <c r="OQO15" s="260"/>
      <c r="OQP15" s="260"/>
      <c r="OQQ15" s="260"/>
      <c r="OQR15" s="260"/>
      <c r="OQS15" s="260"/>
      <c r="OQT15" s="260"/>
      <c r="OQU15" s="260"/>
      <c r="OQV15" s="260"/>
      <c r="OQW15" s="260"/>
      <c r="OQX15" s="260"/>
      <c r="OQY15" s="260"/>
      <c r="OQZ15" s="260"/>
      <c r="ORA15" s="260"/>
      <c r="ORB15" s="260"/>
      <c r="ORC15" s="260"/>
      <c r="ORD15" s="260"/>
      <c r="ORE15" s="260"/>
      <c r="ORF15" s="260"/>
      <c r="ORG15" s="260"/>
      <c r="ORH15" s="260"/>
      <c r="ORI15" s="260"/>
      <c r="ORJ15" s="260"/>
      <c r="ORK15" s="260"/>
      <c r="ORL15" s="260"/>
      <c r="ORM15" s="260"/>
      <c r="ORN15" s="260"/>
      <c r="ORO15" s="260"/>
      <c r="ORP15" s="260"/>
      <c r="ORQ15" s="260"/>
      <c r="ORR15" s="260"/>
      <c r="ORS15" s="260"/>
      <c r="ORT15" s="260"/>
      <c r="ORU15" s="260"/>
      <c r="ORV15" s="260"/>
      <c r="ORW15" s="260"/>
      <c r="ORX15" s="260"/>
      <c r="ORY15" s="260"/>
      <c r="ORZ15" s="260"/>
      <c r="OSA15" s="260"/>
      <c r="OSB15" s="260"/>
      <c r="OSC15" s="260"/>
      <c r="OSD15" s="260"/>
      <c r="OSE15" s="260"/>
      <c r="OSF15" s="260"/>
      <c r="OSG15" s="260"/>
      <c r="OSH15" s="260"/>
      <c r="OSI15" s="260"/>
      <c r="OSJ15" s="260"/>
      <c r="OSK15" s="260"/>
      <c r="OSL15" s="260"/>
      <c r="OSM15" s="260"/>
      <c r="OSN15" s="260"/>
      <c r="OSO15" s="260"/>
      <c r="OSP15" s="260"/>
      <c r="OSQ15" s="260"/>
      <c r="OSR15" s="260"/>
      <c r="OSS15" s="260"/>
      <c r="OST15" s="260"/>
      <c r="OSU15" s="260"/>
      <c r="OSV15" s="260"/>
      <c r="OSW15" s="260"/>
      <c r="OSX15" s="260"/>
      <c r="OSY15" s="260"/>
      <c r="OSZ15" s="260"/>
      <c r="OTA15" s="260"/>
      <c r="OTB15" s="260"/>
      <c r="OTC15" s="260"/>
      <c r="OTD15" s="260"/>
      <c r="OTE15" s="260"/>
      <c r="OTF15" s="260"/>
      <c r="OTG15" s="260"/>
      <c r="OTH15" s="260"/>
      <c r="OTI15" s="260"/>
      <c r="OTJ15" s="260"/>
      <c r="OTK15" s="260"/>
      <c r="OTL15" s="260"/>
      <c r="OTM15" s="260"/>
      <c r="OTN15" s="260"/>
      <c r="OTO15" s="260"/>
      <c r="OTP15" s="260"/>
      <c r="OTQ15" s="260"/>
      <c r="OTR15" s="260"/>
      <c r="OTS15" s="260"/>
      <c r="OTT15" s="260"/>
      <c r="OTU15" s="260"/>
      <c r="OTV15" s="260"/>
      <c r="OTW15" s="260"/>
      <c r="OTX15" s="260"/>
      <c r="OTY15" s="260"/>
      <c r="OTZ15" s="260"/>
      <c r="OUA15" s="260"/>
      <c r="OUB15" s="260"/>
      <c r="OUC15" s="260"/>
      <c r="OUD15" s="260"/>
      <c r="OUE15" s="260"/>
      <c r="OUF15" s="260"/>
      <c r="OUG15" s="260"/>
      <c r="OUH15" s="260"/>
      <c r="OUI15" s="260"/>
      <c r="OUJ15" s="260"/>
      <c r="OUK15" s="260"/>
      <c r="OUL15" s="260"/>
      <c r="OUM15" s="260"/>
      <c r="OUN15" s="260"/>
      <c r="OUO15" s="260"/>
      <c r="OUP15" s="260"/>
      <c r="OUQ15" s="260"/>
      <c r="OUR15" s="260"/>
      <c r="OUS15" s="260"/>
      <c r="OUT15" s="260"/>
      <c r="OUU15" s="260"/>
      <c r="OUV15" s="260"/>
      <c r="OUW15" s="260"/>
      <c r="OUX15" s="260"/>
      <c r="OUY15" s="260"/>
      <c r="OUZ15" s="260"/>
      <c r="OVA15" s="260"/>
      <c r="OVB15" s="260"/>
      <c r="OVC15" s="260"/>
      <c r="OVD15" s="260"/>
      <c r="OVE15" s="260"/>
      <c r="OVF15" s="260"/>
      <c r="OVG15" s="260"/>
      <c r="OVH15" s="260"/>
      <c r="OVI15" s="260"/>
      <c r="OVJ15" s="260"/>
      <c r="OVK15" s="260"/>
      <c r="OVL15" s="260"/>
      <c r="OVM15" s="260"/>
      <c r="OVN15" s="260"/>
      <c r="OVO15" s="260"/>
      <c r="OVP15" s="260"/>
      <c r="OVQ15" s="260"/>
      <c r="OVR15" s="260"/>
      <c r="OVS15" s="260"/>
      <c r="OVT15" s="260"/>
      <c r="OVU15" s="260"/>
      <c r="OVV15" s="260"/>
      <c r="OVW15" s="260"/>
      <c r="OVX15" s="260"/>
      <c r="OVY15" s="260"/>
      <c r="OVZ15" s="260"/>
      <c r="OWA15" s="260"/>
      <c r="OWB15" s="260"/>
      <c r="OWC15" s="260"/>
      <c r="OWD15" s="260"/>
      <c r="OWE15" s="260"/>
      <c r="OWF15" s="260"/>
      <c r="OWG15" s="260"/>
      <c r="OWH15" s="260"/>
      <c r="OWI15" s="260"/>
      <c r="OWJ15" s="260"/>
      <c r="OWK15" s="260"/>
      <c r="OWL15" s="260"/>
      <c r="OWM15" s="260"/>
      <c r="OWN15" s="260"/>
      <c r="OWO15" s="260"/>
      <c r="OWP15" s="260"/>
      <c r="OWQ15" s="260"/>
      <c r="OWR15" s="260"/>
      <c r="OWS15" s="260"/>
      <c r="OWT15" s="260"/>
      <c r="OWU15" s="260"/>
      <c r="OWV15" s="260"/>
      <c r="OWW15" s="260"/>
      <c r="OWX15" s="260"/>
      <c r="OWY15" s="260"/>
      <c r="OWZ15" s="260"/>
      <c r="OXA15" s="260"/>
      <c r="OXB15" s="260"/>
      <c r="OXC15" s="260"/>
      <c r="OXD15" s="260"/>
      <c r="OXE15" s="260"/>
      <c r="OXF15" s="260"/>
      <c r="OXG15" s="260"/>
      <c r="OXH15" s="260"/>
      <c r="OXI15" s="260"/>
      <c r="OXJ15" s="260"/>
      <c r="OXK15" s="260"/>
      <c r="OXL15" s="260"/>
      <c r="OXM15" s="260"/>
      <c r="OXN15" s="260"/>
      <c r="OXO15" s="260"/>
      <c r="OXP15" s="260"/>
      <c r="OXQ15" s="260"/>
      <c r="OXR15" s="260"/>
      <c r="OXS15" s="260"/>
      <c r="OXT15" s="260"/>
      <c r="OXU15" s="260"/>
      <c r="OXV15" s="260"/>
      <c r="OXW15" s="260"/>
      <c r="OXX15" s="260"/>
      <c r="OXY15" s="260"/>
      <c r="OXZ15" s="260"/>
      <c r="OYA15" s="260"/>
      <c r="OYB15" s="260"/>
      <c r="OYC15" s="260"/>
      <c r="OYD15" s="260"/>
      <c r="OYE15" s="260"/>
      <c r="OYF15" s="260"/>
      <c r="OYG15" s="260"/>
      <c r="OYH15" s="260"/>
      <c r="OYI15" s="260"/>
      <c r="OYJ15" s="260"/>
      <c r="OYK15" s="260"/>
      <c r="OYL15" s="260"/>
      <c r="OYM15" s="260"/>
      <c r="OYN15" s="260"/>
      <c r="OYO15" s="260"/>
      <c r="OYP15" s="260"/>
      <c r="OYQ15" s="260"/>
      <c r="OYR15" s="260"/>
      <c r="OYS15" s="260"/>
      <c r="OYT15" s="260"/>
      <c r="OYU15" s="260"/>
      <c r="OYV15" s="260"/>
      <c r="OYW15" s="260"/>
      <c r="OYX15" s="260"/>
      <c r="OYY15" s="260"/>
      <c r="OYZ15" s="260"/>
      <c r="OZA15" s="260"/>
      <c r="OZB15" s="260"/>
      <c r="OZC15" s="260"/>
      <c r="OZD15" s="260"/>
      <c r="OZE15" s="260"/>
      <c r="OZF15" s="260"/>
      <c r="OZG15" s="260"/>
      <c r="OZH15" s="260"/>
      <c r="OZI15" s="260"/>
      <c r="OZJ15" s="260"/>
      <c r="OZK15" s="260"/>
      <c r="OZL15" s="260"/>
      <c r="OZM15" s="260"/>
      <c r="OZN15" s="260"/>
      <c r="OZO15" s="260"/>
      <c r="OZP15" s="260"/>
      <c r="OZQ15" s="260"/>
      <c r="OZR15" s="260"/>
      <c r="OZS15" s="260"/>
      <c r="OZT15" s="260"/>
      <c r="OZU15" s="260"/>
      <c r="OZV15" s="260"/>
      <c r="OZW15" s="260"/>
      <c r="OZX15" s="260"/>
      <c r="OZY15" s="260"/>
      <c r="OZZ15" s="260"/>
      <c r="PAA15" s="260"/>
      <c r="PAB15" s="260"/>
      <c r="PAC15" s="260"/>
      <c r="PAD15" s="260"/>
      <c r="PAE15" s="260"/>
      <c r="PAF15" s="260"/>
      <c r="PAG15" s="260"/>
      <c r="PAH15" s="260"/>
      <c r="PAI15" s="260"/>
      <c r="PAJ15" s="260"/>
      <c r="PAK15" s="260"/>
      <c r="PAL15" s="260"/>
      <c r="PAM15" s="260"/>
      <c r="PAN15" s="260"/>
      <c r="PAO15" s="260"/>
      <c r="PAP15" s="260"/>
      <c r="PAQ15" s="260"/>
      <c r="PAR15" s="260"/>
      <c r="PAS15" s="260"/>
      <c r="PAT15" s="260"/>
      <c r="PAU15" s="260"/>
      <c r="PAV15" s="260"/>
      <c r="PAW15" s="260"/>
      <c r="PAX15" s="260"/>
      <c r="PAY15" s="260"/>
      <c r="PAZ15" s="260"/>
      <c r="PBA15" s="260"/>
      <c r="PBB15" s="260"/>
      <c r="PBC15" s="260"/>
      <c r="PBD15" s="260"/>
      <c r="PBE15" s="260"/>
      <c r="PBF15" s="260"/>
      <c r="PBG15" s="260"/>
      <c r="PBH15" s="260"/>
      <c r="PBI15" s="260"/>
      <c r="PBJ15" s="260"/>
      <c r="PBK15" s="260"/>
      <c r="PBL15" s="260"/>
      <c r="PBM15" s="260"/>
      <c r="PBN15" s="260"/>
      <c r="PBO15" s="260"/>
      <c r="PBP15" s="260"/>
      <c r="PBQ15" s="260"/>
      <c r="PBR15" s="260"/>
      <c r="PBS15" s="260"/>
      <c r="PBT15" s="260"/>
      <c r="PBU15" s="260"/>
      <c r="PBV15" s="260"/>
      <c r="PBW15" s="260"/>
      <c r="PBX15" s="260"/>
      <c r="PBY15" s="260"/>
      <c r="PBZ15" s="260"/>
      <c r="PCA15" s="260"/>
      <c r="PCB15" s="260"/>
      <c r="PCC15" s="260"/>
      <c r="PCD15" s="260"/>
      <c r="PCE15" s="260"/>
      <c r="PCF15" s="260"/>
      <c r="PCG15" s="260"/>
      <c r="PCH15" s="260"/>
      <c r="PCI15" s="260"/>
      <c r="PCJ15" s="260"/>
      <c r="PCK15" s="260"/>
      <c r="PCL15" s="260"/>
      <c r="PCM15" s="260"/>
      <c r="PCN15" s="260"/>
      <c r="PCO15" s="260"/>
      <c r="PCP15" s="260"/>
      <c r="PCQ15" s="260"/>
      <c r="PCR15" s="260"/>
      <c r="PCS15" s="260"/>
      <c r="PCT15" s="260"/>
      <c r="PCU15" s="260"/>
      <c r="PCV15" s="260"/>
      <c r="PCW15" s="260"/>
      <c r="PCX15" s="260"/>
      <c r="PCY15" s="260"/>
      <c r="PCZ15" s="260"/>
      <c r="PDA15" s="260"/>
      <c r="PDB15" s="260"/>
      <c r="PDC15" s="260"/>
      <c r="PDD15" s="260"/>
      <c r="PDE15" s="260"/>
      <c r="PDF15" s="260"/>
      <c r="PDG15" s="260"/>
      <c r="PDH15" s="260"/>
      <c r="PDI15" s="260"/>
      <c r="PDJ15" s="260"/>
      <c r="PDK15" s="260"/>
      <c r="PDL15" s="260"/>
      <c r="PDM15" s="260"/>
      <c r="PDN15" s="260"/>
      <c r="PDO15" s="260"/>
      <c r="PDP15" s="260"/>
      <c r="PDQ15" s="260"/>
      <c r="PDR15" s="260"/>
      <c r="PDS15" s="260"/>
      <c r="PDT15" s="260"/>
      <c r="PDU15" s="260"/>
      <c r="PDV15" s="260"/>
      <c r="PDW15" s="260"/>
      <c r="PDX15" s="260"/>
      <c r="PDY15" s="260"/>
      <c r="PDZ15" s="260"/>
      <c r="PEA15" s="260"/>
      <c r="PEB15" s="260"/>
      <c r="PEC15" s="260"/>
      <c r="PED15" s="260"/>
      <c r="PEE15" s="260"/>
      <c r="PEF15" s="260"/>
      <c r="PEG15" s="260"/>
      <c r="PEH15" s="260"/>
      <c r="PEI15" s="260"/>
      <c r="PEJ15" s="260"/>
      <c r="PEK15" s="260"/>
      <c r="PEL15" s="260"/>
      <c r="PEM15" s="260"/>
      <c r="PEN15" s="260"/>
      <c r="PEO15" s="260"/>
      <c r="PEP15" s="260"/>
      <c r="PEQ15" s="260"/>
      <c r="PER15" s="260"/>
      <c r="PES15" s="260"/>
      <c r="PET15" s="260"/>
      <c r="PEU15" s="260"/>
      <c r="PEV15" s="260"/>
      <c r="PEW15" s="260"/>
      <c r="PEX15" s="260"/>
      <c r="PEY15" s="260"/>
      <c r="PEZ15" s="260"/>
      <c r="PFA15" s="260"/>
      <c r="PFB15" s="260"/>
      <c r="PFC15" s="260"/>
      <c r="PFD15" s="260"/>
      <c r="PFE15" s="260"/>
      <c r="PFF15" s="260"/>
      <c r="PFG15" s="260"/>
      <c r="PFH15" s="260"/>
      <c r="PFI15" s="260"/>
      <c r="PFJ15" s="260"/>
      <c r="PFK15" s="260"/>
      <c r="PFL15" s="260"/>
      <c r="PFM15" s="260"/>
      <c r="PFN15" s="260"/>
      <c r="PFO15" s="260"/>
      <c r="PFP15" s="260"/>
      <c r="PFQ15" s="260"/>
      <c r="PFR15" s="260"/>
      <c r="PFS15" s="260"/>
      <c r="PFT15" s="260"/>
      <c r="PFU15" s="260"/>
      <c r="PFV15" s="260"/>
      <c r="PFW15" s="260"/>
      <c r="PFX15" s="260"/>
      <c r="PFY15" s="260"/>
      <c r="PFZ15" s="260"/>
      <c r="PGA15" s="260"/>
      <c r="PGB15" s="260"/>
      <c r="PGC15" s="260"/>
      <c r="PGD15" s="260"/>
      <c r="PGE15" s="260"/>
      <c r="PGF15" s="260"/>
      <c r="PGG15" s="260"/>
      <c r="PGH15" s="260"/>
      <c r="PGI15" s="260"/>
      <c r="PGJ15" s="260"/>
      <c r="PGK15" s="260"/>
      <c r="PGL15" s="260"/>
      <c r="PGM15" s="260"/>
      <c r="PGN15" s="260"/>
      <c r="PGO15" s="260"/>
      <c r="PGP15" s="260"/>
      <c r="PGQ15" s="260"/>
      <c r="PGR15" s="260"/>
      <c r="PGS15" s="260"/>
      <c r="PGT15" s="260"/>
      <c r="PGU15" s="260"/>
      <c r="PGV15" s="260"/>
      <c r="PGW15" s="260"/>
      <c r="PGX15" s="260"/>
      <c r="PGY15" s="260"/>
      <c r="PGZ15" s="260"/>
      <c r="PHA15" s="260"/>
      <c r="PHB15" s="260"/>
      <c r="PHC15" s="260"/>
      <c r="PHD15" s="260"/>
      <c r="PHE15" s="260"/>
      <c r="PHF15" s="260"/>
      <c r="PHG15" s="260"/>
      <c r="PHH15" s="260"/>
      <c r="PHI15" s="260"/>
      <c r="PHJ15" s="260"/>
      <c r="PHK15" s="260"/>
      <c r="PHL15" s="260"/>
      <c r="PHM15" s="260"/>
      <c r="PHN15" s="260"/>
      <c r="PHO15" s="260"/>
      <c r="PHP15" s="260"/>
      <c r="PHQ15" s="260"/>
      <c r="PHR15" s="260"/>
      <c r="PHS15" s="260"/>
      <c r="PHT15" s="260"/>
      <c r="PHU15" s="260"/>
      <c r="PHV15" s="260"/>
      <c r="PHW15" s="260"/>
      <c r="PHX15" s="260"/>
      <c r="PHY15" s="260"/>
      <c r="PHZ15" s="260"/>
      <c r="PIA15" s="260"/>
      <c r="PIB15" s="260"/>
      <c r="PIC15" s="260"/>
      <c r="PID15" s="260"/>
      <c r="PIE15" s="260"/>
      <c r="PIF15" s="260"/>
      <c r="PIG15" s="260"/>
      <c r="PIH15" s="260"/>
      <c r="PII15" s="260"/>
      <c r="PIJ15" s="260"/>
      <c r="PIK15" s="260"/>
      <c r="PIL15" s="260"/>
      <c r="PIM15" s="260"/>
      <c r="PIN15" s="260"/>
      <c r="PIO15" s="260"/>
      <c r="PIP15" s="260"/>
      <c r="PIQ15" s="260"/>
      <c r="PIR15" s="260"/>
      <c r="PIS15" s="260"/>
      <c r="PIT15" s="260"/>
      <c r="PIU15" s="260"/>
      <c r="PIV15" s="260"/>
      <c r="PIW15" s="260"/>
      <c r="PIX15" s="260"/>
      <c r="PIY15" s="260"/>
      <c r="PIZ15" s="260"/>
      <c r="PJA15" s="260"/>
      <c r="PJB15" s="260"/>
      <c r="PJC15" s="260"/>
      <c r="PJD15" s="260"/>
      <c r="PJE15" s="260"/>
      <c r="PJF15" s="260"/>
      <c r="PJG15" s="260"/>
      <c r="PJH15" s="260"/>
      <c r="PJI15" s="260"/>
      <c r="PJJ15" s="260"/>
      <c r="PJK15" s="260"/>
      <c r="PJL15" s="260"/>
      <c r="PJM15" s="260"/>
      <c r="PJN15" s="260"/>
      <c r="PJO15" s="260"/>
      <c r="PJP15" s="260"/>
      <c r="PJQ15" s="260"/>
      <c r="PJR15" s="260"/>
      <c r="PJS15" s="260"/>
      <c r="PJT15" s="260"/>
      <c r="PJU15" s="260"/>
      <c r="PJV15" s="260"/>
      <c r="PJW15" s="260"/>
      <c r="PJX15" s="260"/>
      <c r="PJY15" s="260"/>
      <c r="PJZ15" s="260"/>
      <c r="PKA15" s="260"/>
      <c r="PKB15" s="260"/>
      <c r="PKC15" s="260"/>
      <c r="PKD15" s="260"/>
      <c r="PKE15" s="260"/>
      <c r="PKF15" s="260"/>
      <c r="PKG15" s="260"/>
      <c r="PKH15" s="260"/>
      <c r="PKI15" s="260"/>
      <c r="PKJ15" s="260"/>
      <c r="PKK15" s="260"/>
      <c r="PKL15" s="260"/>
      <c r="PKM15" s="260"/>
      <c r="PKN15" s="260"/>
      <c r="PKO15" s="260"/>
      <c r="PKP15" s="260"/>
      <c r="PKQ15" s="260"/>
      <c r="PKR15" s="260"/>
      <c r="PKS15" s="260"/>
      <c r="PKT15" s="260"/>
      <c r="PKU15" s="260"/>
      <c r="PKV15" s="260"/>
      <c r="PKW15" s="260"/>
      <c r="PKX15" s="260"/>
      <c r="PKY15" s="260"/>
      <c r="PKZ15" s="260"/>
      <c r="PLA15" s="260"/>
      <c r="PLB15" s="260"/>
      <c r="PLC15" s="260"/>
      <c r="PLD15" s="260"/>
      <c r="PLE15" s="260"/>
      <c r="PLF15" s="260"/>
      <c r="PLG15" s="260"/>
      <c r="PLH15" s="260"/>
      <c r="PLI15" s="260"/>
      <c r="PLJ15" s="260"/>
      <c r="PLK15" s="260"/>
      <c r="PLL15" s="260"/>
      <c r="PLM15" s="260"/>
      <c r="PLN15" s="260"/>
      <c r="PLO15" s="260"/>
      <c r="PLP15" s="260"/>
      <c r="PLQ15" s="260"/>
      <c r="PLR15" s="260"/>
      <c r="PLS15" s="260"/>
      <c r="PLT15" s="260"/>
      <c r="PLU15" s="260"/>
      <c r="PLV15" s="260"/>
      <c r="PLW15" s="260"/>
      <c r="PLX15" s="260"/>
      <c r="PLY15" s="260"/>
      <c r="PLZ15" s="260"/>
      <c r="PMA15" s="260"/>
      <c r="PMB15" s="260"/>
      <c r="PMC15" s="260"/>
      <c r="PMD15" s="260"/>
      <c r="PME15" s="260"/>
      <c r="PMF15" s="260"/>
      <c r="PMG15" s="260"/>
      <c r="PMH15" s="260"/>
      <c r="PMI15" s="260"/>
      <c r="PMJ15" s="260"/>
      <c r="PMK15" s="260"/>
      <c r="PML15" s="260"/>
      <c r="PMM15" s="260"/>
      <c r="PMN15" s="260"/>
      <c r="PMO15" s="260"/>
      <c r="PMP15" s="260"/>
      <c r="PMQ15" s="260"/>
      <c r="PMR15" s="260"/>
      <c r="PMS15" s="260"/>
      <c r="PMT15" s="260"/>
      <c r="PMU15" s="260"/>
      <c r="PMV15" s="260"/>
      <c r="PMW15" s="260"/>
      <c r="PMX15" s="260"/>
      <c r="PMY15" s="260"/>
      <c r="PMZ15" s="260"/>
      <c r="PNA15" s="260"/>
      <c r="PNB15" s="260"/>
      <c r="PNC15" s="260"/>
      <c r="PND15" s="260"/>
      <c r="PNE15" s="260"/>
      <c r="PNF15" s="260"/>
      <c r="PNG15" s="260"/>
      <c r="PNH15" s="260"/>
      <c r="PNI15" s="260"/>
      <c r="PNJ15" s="260"/>
      <c r="PNK15" s="260"/>
      <c r="PNL15" s="260"/>
      <c r="PNM15" s="260"/>
      <c r="PNN15" s="260"/>
      <c r="PNO15" s="260"/>
      <c r="PNP15" s="260"/>
      <c r="PNQ15" s="260"/>
      <c r="PNR15" s="260"/>
      <c r="PNS15" s="260"/>
      <c r="PNT15" s="260"/>
      <c r="PNU15" s="260"/>
      <c r="PNV15" s="260"/>
      <c r="PNW15" s="260"/>
      <c r="PNX15" s="260"/>
      <c r="PNY15" s="260"/>
      <c r="PNZ15" s="260"/>
      <c r="POA15" s="260"/>
      <c r="POB15" s="260"/>
      <c r="POC15" s="260"/>
      <c r="POD15" s="260"/>
      <c r="POE15" s="260"/>
      <c r="POF15" s="260"/>
      <c r="POG15" s="260"/>
      <c r="POH15" s="260"/>
      <c r="POI15" s="260"/>
      <c r="POJ15" s="260"/>
      <c r="POK15" s="260"/>
      <c r="POL15" s="260"/>
      <c r="POM15" s="260"/>
      <c r="PON15" s="260"/>
      <c r="POO15" s="260"/>
      <c r="POP15" s="260"/>
      <c r="POQ15" s="260"/>
      <c r="POR15" s="260"/>
      <c r="POS15" s="260"/>
      <c r="POT15" s="260"/>
      <c r="POU15" s="260"/>
      <c r="POV15" s="260"/>
      <c r="POW15" s="260"/>
      <c r="POX15" s="260"/>
      <c r="POY15" s="260"/>
      <c r="POZ15" s="260"/>
      <c r="PPA15" s="260"/>
      <c r="PPB15" s="260"/>
      <c r="PPC15" s="260"/>
      <c r="PPD15" s="260"/>
      <c r="PPE15" s="260"/>
      <c r="PPF15" s="260"/>
      <c r="PPG15" s="260"/>
      <c r="PPH15" s="260"/>
      <c r="PPI15" s="260"/>
      <c r="PPJ15" s="260"/>
      <c r="PPK15" s="260"/>
      <c r="PPL15" s="260"/>
      <c r="PPM15" s="260"/>
      <c r="PPN15" s="260"/>
      <c r="PPO15" s="260"/>
      <c r="PPP15" s="260"/>
      <c r="PPQ15" s="260"/>
      <c r="PPR15" s="260"/>
      <c r="PPS15" s="260"/>
      <c r="PPT15" s="260"/>
      <c r="PPU15" s="260"/>
      <c r="PPV15" s="260"/>
      <c r="PPW15" s="260"/>
      <c r="PPX15" s="260"/>
      <c r="PPY15" s="260"/>
      <c r="PPZ15" s="260"/>
      <c r="PQA15" s="260"/>
      <c r="PQB15" s="260"/>
      <c r="PQC15" s="260"/>
      <c r="PQD15" s="260"/>
      <c r="PQE15" s="260"/>
      <c r="PQF15" s="260"/>
      <c r="PQG15" s="260"/>
      <c r="PQH15" s="260"/>
      <c r="PQI15" s="260"/>
      <c r="PQJ15" s="260"/>
      <c r="PQK15" s="260"/>
      <c r="PQL15" s="260"/>
      <c r="PQM15" s="260"/>
      <c r="PQN15" s="260"/>
      <c r="PQO15" s="260"/>
      <c r="PQP15" s="260"/>
      <c r="PQQ15" s="260"/>
      <c r="PQR15" s="260"/>
      <c r="PQS15" s="260"/>
      <c r="PQT15" s="260"/>
      <c r="PQU15" s="260"/>
      <c r="PQV15" s="260"/>
      <c r="PQW15" s="260"/>
      <c r="PQX15" s="260"/>
      <c r="PQY15" s="260"/>
      <c r="PQZ15" s="260"/>
      <c r="PRA15" s="260"/>
      <c r="PRB15" s="260"/>
      <c r="PRC15" s="260"/>
      <c r="PRD15" s="260"/>
      <c r="PRE15" s="260"/>
      <c r="PRF15" s="260"/>
      <c r="PRG15" s="260"/>
      <c r="PRH15" s="260"/>
      <c r="PRI15" s="260"/>
      <c r="PRJ15" s="260"/>
      <c r="PRK15" s="260"/>
      <c r="PRL15" s="260"/>
      <c r="PRM15" s="260"/>
      <c r="PRN15" s="260"/>
      <c r="PRO15" s="260"/>
      <c r="PRP15" s="260"/>
      <c r="PRQ15" s="260"/>
      <c r="PRR15" s="260"/>
      <c r="PRS15" s="260"/>
      <c r="PRT15" s="260"/>
      <c r="PRU15" s="260"/>
      <c r="PRV15" s="260"/>
      <c r="PRW15" s="260"/>
      <c r="PRX15" s="260"/>
      <c r="PRY15" s="260"/>
      <c r="PRZ15" s="260"/>
      <c r="PSA15" s="260"/>
      <c r="PSB15" s="260"/>
      <c r="PSC15" s="260"/>
      <c r="PSD15" s="260"/>
      <c r="PSE15" s="260"/>
      <c r="PSF15" s="260"/>
      <c r="PSG15" s="260"/>
      <c r="PSH15" s="260"/>
      <c r="PSI15" s="260"/>
      <c r="PSJ15" s="260"/>
      <c r="PSK15" s="260"/>
      <c r="PSL15" s="260"/>
      <c r="PSM15" s="260"/>
      <c r="PSN15" s="260"/>
      <c r="PSO15" s="260"/>
      <c r="PSP15" s="260"/>
      <c r="PSQ15" s="260"/>
      <c r="PSR15" s="260"/>
      <c r="PSS15" s="260"/>
      <c r="PST15" s="260"/>
      <c r="PSU15" s="260"/>
      <c r="PSV15" s="260"/>
      <c r="PSW15" s="260"/>
      <c r="PSX15" s="260"/>
      <c r="PSY15" s="260"/>
      <c r="PSZ15" s="260"/>
      <c r="PTA15" s="260"/>
      <c r="PTB15" s="260"/>
      <c r="PTC15" s="260"/>
      <c r="PTD15" s="260"/>
      <c r="PTE15" s="260"/>
      <c r="PTF15" s="260"/>
      <c r="PTG15" s="260"/>
      <c r="PTH15" s="260"/>
      <c r="PTI15" s="260"/>
      <c r="PTJ15" s="260"/>
      <c r="PTK15" s="260"/>
      <c r="PTL15" s="260"/>
      <c r="PTM15" s="260"/>
      <c r="PTN15" s="260"/>
      <c r="PTO15" s="260"/>
      <c r="PTP15" s="260"/>
      <c r="PTQ15" s="260"/>
      <c r="PTR15" s="260"/>
      <c r="PTS15" s="260"/>
      <c r="PTT15" s="260"/>
      <c r="PTU15" s="260"/>
      <c r="PTV15" s="260"/>
      <c r="PTW15" s="260"/>
      <c r="PTX15" s="260"/>
      <c r="PTY15" s="260"/>
      <c r="PTZ15" s="260"/>
      <c r="PUA15" s="260"/>
      <c r="PUB15" s="260"/>
      <c r="PUC15" s="260"/>
      <c r="PUD15" s="260"/>
      <c r="PUE15" s="260"/>
      <c r="PUF15" s="260"/>
      <c r="PUG15" s="260"/>
      <c r="PUH15" s="260"/>
      <c r="PUI15" s="260"/>
      <c r="PUJ15" s="260"/>
      <c r="PUK15" s="260"/>
      <c r="PUL15" s="260"/>
      <c r="PUM15" s="260"/>
      <c r="PUN15" s="260"/>
      <c r="PUO15" s="260"/>
      <c r="PUP15" s="260"/>
      <c r="PUQ15" s="260"/>
      <c r="PUR15" s="260"/>
      <c r="PUS15" s="260"/>
      <c r="PUT15" s="260"/>
      <c r="PUU15" s="260"/>
      <c r="PUV15" s="260"/>
      <c r="PUW15" s="260"/>
      <c r="PUX15" s="260"/>
      <c r="PUY15" s="260"/>
      <c r="PUZ15" s="260"/>
      <c r="PVA15" s="260"/>
      <c r="PVB15" s="260"/>
      <c r="PVC15" s="260"/>
      <c r="PVD15" s="260"/>
      <c r="PVE15" s="260"/>
      <c r="PVF15" s="260"/>
      <c r="PVG15" s="260"/>
      <c r="PVH15" s="260"/>
      <c r="PVI15" s="260"/>
      <c r="PVJ15" s="260"/>
      <c r="PVK15" s="260"/>
      <c r="PVL15" s="260"/>
      <c r="PVM15" s="260"/>
      <c r="PVN15" s="260"/>
      <c r="PVO15" s="260"/>
      <c r="PVP15" s="260"/>
      <c r="PVQ15" s="260"/>
      <c r="PVR15" s="260"/>
      <c r="PVS15" s="260"/>
      <c r="PVT15" s="260"/>
      <c r="PVU15" s="260"/>
      <c r="PVV15" s="260"/>
      <c r="PVW15" s="260"/>
      <c r="PVX15" s="260"/>
      <c r="PVY15" s="260"/>
      <c r="PVZ15" s="260"/>
      <c r="PWA15" s="260"/>
      <c r="PWB15" s="260"/>
      <c r="PWC15" s="260"/>
      <c r="PWD15" s="260"/>
      <c r="PWE15" s="260"/>
      <c r="PWF15" s="260"/>
      <c r="PWG15" s="260"/>
      <c r="PWH15" s="260"/>
      <c r="PWI15" s="260"/>
      <c r="PWJ15" s="260"/>
      <c r="PWK15" s="260"/>
      <c r="PWL15" s="260"/>
      <c r="PWM15" s="260"/>
      <c r="PWN15" s="260"/>
      <c r="PWO15" s="260"/>
      <c r="PWP15" s="260"/>
      <c r="PWQ15" s="260"/>
      <c r="PWR15" s="260"/>
      <c r="PWS15" s="260"/>
      <c r="PWT15" s="260"/>
      <c r="PWU15" s="260"/>
      <c r="PWV15" s="260"/>
      <c r="PWW15" s="260"/>
      <c r="PWX15" s="260"/>
      <c r="PWY15" s="260"/>
      <c r="PWZ15" s="260"/>
      <c r="PXA15" s="260"/>
      <c r="PXB15" s="260"/>
      <c r="PXC15" s="260"/>
      <c r="PXD15" s="260"/>
      <c r="PXE15" s="260"/>
      <c r="PXF15" s="260"/>
      <c r="PXG15" s="260"/>
      <c r="PXH15" s="260"/>
      <c r="PXI15" s="260"/>
      <c r="PXJ15" s="260"/>
      <c r="PXK15" s="260"/>
      <c r="PXL15" s="260"/>
      <c r="PXM15" s="260"/>
      <c r="PXN15" s="260"/>
      <c r="PXO15" s="260"/>
      <c r="PXP15" s="260"/>
      <c r="PXQ15" s="260"/>
      <c r="PXR15" s="260"/>
      <c r="PXS15" s="260"/>
      <c r="PXT15" s="260"/>
      <c r="PXU15" s="260"/>
      <c r="PXV15" s="260"/>
      <c r="PXW15" s="260"/>
      <c r="PXX15" s="260"/>
      <c r="PXY15" s="260"/>
      <c r="PXZ15" s="260"/>
      <c r="PYA15" s="260"/>
      <c r="PYB15" s="260"/>
      <c r="PYC15" s="260"/>
      <c r="PYD15" s="260"/>
      <c r="PYE15" s="260"/>
      <c r="PYF15" s="260"/>
      <c r="PYG15" s="260"/>
      <c r="PYH15" s="260"/>
      <c r="PYI15" s="260"/>
      <c r="PYJ15" s="260"/>
      <c r="PYK15" s="260"/>
      <c r="PYL15" s="260"/>
      <c r="PYM15" s="260"/>
      <c r="PYN15" s="260"/>
      <c r="PYO15" s="260"/>
      <c r="PYP15" s="260"/>
      <c r="PYQ15" s="260"/>
      <c r="PYR15" s="260"/>
      <c r="PYS15" s="260"/>
      <c r="PYT15" s="260"/>
      <c r="PYU15" s="260"/>
      <c r="PYV15" s="260"/>
      <c r="PYW15" s="260"/>
      <c r="PYX15" s="260"/>
      <c r="PYY15" s="260"/>
      <c r="PYZ15" s="260"/>
      <c r="PZA15" s="260"/>
      <c r="PZB15" s="260"/>
      <c r="PZC15" s="260"/>
      <c r="PZD15" s="260"/>
      <c r="PZE15" s="260"/>
      <c r="PZF15" s="260"/>
      <c r="PZG15" s="260"/>
      <c r="PZH15" s="260"/>
      <c r="PZI15" s="260"/>
      <c r="PZJ15" s="260"/>
      <c r="PZK15" s="260"/>
      <c r="PZL15" s="260"/>
      <c r="PZM15" s="260"/>
      <c r="PZN15" s="260"/>
      <c r="PZO15" s="260"/>
      <c r="PZP15" s="260"/>
      <c r="PZQ15" s="260"/>
      <c r="PZR15" s="260"/>
      <c r="PZS15" s="260"/>
      <c r="PZT15" s="260"/>
      <c r="PZU15" s="260"/>
      <c r="PZV15" s="260"/>
      <c r="PZW15" s="260"/>
      <c r="PZX15" s="260"/>
      <c r="PZY15" s="260"/>
      <c r="PZZ15" s="260"/>
      <c r="QAA15" s="260"/>
      <c r="QAB15" s="260"/>
      <c r="QAC15" s="260"/>
      <c r="QAD15" s="260"/>
      <c r="QAE15" s="260"/>
      <c r="QAF15" s="260"/>
      <c r="QAG15" s="260"/>
      <c r="QAH15" s="260"/>
      <c r="QAI15" s="260"/>
      <c r="QAJ15" s="260"/>
      <c r="QAK15" s="260"/>
      <c r="QAL15" s="260"/>
      <c r="QAM15" s="260"/>
      <c r="QAN15" s="260"/>
      <c r="QAO15" s="260"/>
      <c r="QAP15" s="260"/>
      <c r="QAQ15" s="260"/>
      <c r="QAR15" s="260"/>
      <c r="QAS15" s="260"/>
      <c r="QAT15" s="260"/>
      <c r="QAU15" s="260"/>
      <c r="QAV15" s="260"/>
      <c r="QAW15" s="260"/>
      <c r="QAX15" s="260"/>
      <c r="QAY15" s="260"/>
      <c r="QAZ15" s="260"/>
      <c r="QBA15" s="260"/>
      <c r="QBB15" s="260"/>
      <c r="QBC15" s="260"/>
      <c r="QBD15" s="260"/>
      <c r="QBE15" s="260"/>
      <c r="QBF15" s="260"/>
      <c r="QBG15" s="260"/>
      <c r="QBH15" s="260"/>
      <c r="QBI15" s="260"/>
      <c r="QBJ15" s="260"/>
      <c r="QBK15" s="260"/>
      <c r="QBL15" s="260"/>
      <c r="QBM15" s="260"/>
      <c r="QBN15" s="260"/>
      <c r="QBO15" s="260"/>
      <c r="QBP15" s="260"/>
      <c r="QBQ15" s="260"/>
      <c r="QBR15" s="260"/>
      <c r="QBS15" s="260"/>
      <c r="QBT15" s="260"/>
      <c r="QBU15" s="260"/>
      <c r="QBV15" s="260"/>
      <c r="QBW15" s="260"/>
      <c r="QBX15" s="260"/>
      <c r="QBY15" s="260"/>
      <c r="QBZ15" s="260"/>
      <c r="QCA15" s="260"/>
      <c r="QCB15" s="260"/>
      <c r="QCC15" s="260"/>
      <c r="QCD15" s="260"/>
      <c r="QCE15" s="260"/>
      <c r="QCF15" s="260"/>
      <c r="QCG15" s="260"/>
      <c r="QCH15" s="260"/>
      <c r="QCI15" s="260"/>
      <c r="QCJ15" s="260"/>
      <c r="QCK15" s="260"/>
      <c r="QCL15" s="260"/>
      <c r="QCM15" s="260"/>
      <c r="QCN15" s="260"/>
      <c r="QCO15" s="260"/>
      <c r="QCP15" s="260"/>
      <c r="QCQ15" s="260"/>
      <c r="QCR15" s="260"/>
      <c r="QCS15" s="260"/>
      <c r="QCT15" s="260"/>
      <c r="QCU15" s="260"/>
      <c r="QCV15" s="260"/>
      <c r="QCW15" s="260"/>
      <c r="QCX15" s="260"/>
      <c r="QCY15" s="260"/>
      <c r="QCZ15" s="260"/>
      <c r="QDA15" s="260"/>
      <c r="QDB15" s="260"/>
      <c r="QDC15" s="260"/>
      <c r="QDD15" s="260"/>
      <c r="QDE15" s="260"/>
      <c r="QDF15" s="260"/>
      <c r="QDG15" s="260"/>
      <c r="QDH15" s="260"/>
      <c r="QDI15" s="260"/>
      <c r="QDJ15" s="260"/>
      <c r="QDK15" s="260"/>
      <c r="QDL15" s="260"/>
      <c r="QDM15" s="260"/>
      <c r="QDN15" s="260"/>
      <c r="QDO15" s="260"/>
      <c r="QDP15" s="260"/>
      <c r="QDQ15" s="260"/>
      <c r="QDR15" s="260"/>
      <c r="QDS15" s="260"/>
      <c r="QDT15" s="260"/>
      <c r="QDU15" s="260"/>
      <c r="QDV15" s="260"/>
      <c r="QDW15" s="260"/>
      <c r="QDX15" s="260"/>
      <c r="QDY15" s="260"/>
      <c r="QDZ15" s="260"/>
      <c r="QEA15" s="260"/>
      <c r="QEB15" s="260"/>
      <c r="QEC15" s="260"/>
      <c r="QED15" s="260"/>
      <c r="QEE15" s="260"/>
      <c r="QEF15" s="260"/>
      <c r="QEG15" s="260"/>
      <c r="QEH15" s="260"/>
      <c r="QEI15" s="260"/>
      <c r="QEJ15" s="260"/>
      <c r="QEK15" s="260"/>
      <c r="QEL15" s="260"/>
      <c r="QEM15" s="260"/>
      <c r="QEN15" s="260"/>
      <c r="QEO15" s="260"/>
      <c r="QEP15" s="260"/>
      <c r="QEQ15" s="260"/>
      <c r="QER15" s="260"/>
      <c r="QES15" s="260"/>
      <c r="QET15" s="260"/>
      <c r="QEU15" s="260"/>
      <c r="QEV15" s="260"/>
      <c r="QEW15" s="260"/>
      <c r="QEX15" s="260"/>
      <c r="QEY15" s="260"/>
      <c r="QEZ15" s="260"/>
      <c r="QFA15" s="260"/>
      <c r="QFB15" s="260"/>
      <c r="QFC15" s="260"/>
      <c r="QFD15" s="260"/>
      <c r="QFE15" s="260"/>
      <c r="QFF15" s="260"/>
      <c r="QFG15" s="260"/>
      <c r="QFH15" s="260"/>
      <c r="QFI15" s="260"/>
      <c r="QFJ15" s="260"/>
      <c r="QFK15" s="260"/>
      <c r="QFL15" s="260"/>
      <c r="QFM15" s="260"/>
      <c r="QFN15" s="260"/>
      <c r="QFO15" s="260"/>
      <c r="QFP15" s="260"/>
      <c r="QFQ15" s="260"/>
      <c r="QFR15" s="260"/>
      <c r="QFS15" s="260"/>
      <c r="QFT15" s="260"/>
      <c r="QFU15" s="260"/>
      <c r="QFV15" s="260"/>
      <c r="QFW15" s="260"/>
      <c r="QFX15" s="260"/>
      <c r="QFY15" s="260"/>
      <c r="QFZ15" s="260"/>
      <c r="QGA15" s="260"/>
      <c r="QGB15" s="260"/>
      <c r="QGC15" s="260"/>
      <c r="QGD15" s="260"/>
      <c r="QGE15" s="260"/>
      <c r="QGF15" s="260"/>
      <c r="QGG15" s="260"/>
      <c r="QGH15" s="260"/>
      <c r="QGI15" s="260"/>
      <c r="QGJ15" s="260"/>
      <c r="QGK15" s="260"/>
      <c r="QGL15" s="260"/>
      <c r="QGM15" s="260"/>
      <c r="QGN15" s="260"/>
      <c r="QGO15" s="260"/>
      <c r="QGP15" s="260"/>
      <c r="QGQ15" s="260"/>
      <c r="QGR15" s="260"/>
      <c r="QGS15" s="260"/>
      <c r="QGT15" s="260"/>
      <c r="QGU15" s="260"/>
      <c r="QGV15" s="260"/>
      <c r="QGW15" s="260"/>
      <c r="QGX15" s="260"/>
      <c r="QGY15" s="260"/>
      <c r="QGZ15" s="260"/>
      <c r="QHA15" s="260"/>
      <c r="QHB15" s="260"/>
      <c r="QHC15" s="260"/>
      <c r="QHD15" s="260"/>
      <c r="QHE15" s="260"/>
      <c r="QHF15" s="260"/>
      <c r="QHG15" s="260"/>
      <c r="QHH15" s="260"/>
      <c r="QHI15" s="260"/>
      <c r="QHJ15" s="260"/>
      <c r="QHK15" s="260"/>
      <c r="QHL15" s="260"/>
      <c r="QHM15" s="260"/>
      <c r="QHN15" s="260"/>
      <c r="QHO15" s="260"/>
      <c r="QHP15" s="260"/>
      <c r="QHQ15" s="260"/>
      <c r="QHR15" s="260"/>
      <c r="QHS15" s="260"/>
      <c r="QHT15" s="260"/>
      <c r="QHU15" s="260"/>
      <c r="QHV15" s="260"/>
      <c r="QHW15" s="260"/>
      <c r="QHX15" s="260"/>
      <c r="QHY15" s="260"/>
      <c r="QHZ15" s="260"/>
      <c r="QIA15" s="260"/>
      <c r="QIB15" s="260"/>
      <c r="QIC15" s="260"/>
      <c r="QID15" s="260"/>
      <c r="QIE15" s="260"/>
      <c r="QIF15" s="260"/>
      <c r="QIG15" s="260"/>
      <c r="QIH15" s="260"/>
      <c r="QII15" s="260"/>
      <c r="QIJ15" s="260"/>
      <c r="QIK15" s="260"/>
      <c r="QIL15" s="260"/>
      <c r="QIM15" s="260"/>
      <c r="QIN15" s="260"/>
      <c r="QIO15" s="260"/>
      <c r="QIP15" s="260"/>
      <c r="QIQ15" s="260"/>
      <c r="QIR15" s="260"/>
      <c r="QIS15" s="260"/>
      <c r="QIT15" s="260"/>
      <c r="QIU15" s="260"/>
      <c r="QIV15" s="260"/>
      <c r="QIW15" s="260"/>
      <c r="QIX15" s="260"/>
      <c r="QIY15" s="260"/>
      <c r="QIZ15" s="260"/>
      <c r="QJA15" s="260"/>
      <c r="QJB15" s="260"/>
      <c r="QJC15" s="260"/>
      <c r="QJD15" s="260"/>
      <c r="QJE15" s="260"/>
      <c r="QJF15" s="260"/>
      <c r="QJG15" s="260"/>
      <c r="QJH15" s="260"/>
      <c r="QJI15" s="260"/>
      <c r="QJJ15" s="260"/>
      <c r="QJK15" s="260"/>
      <c r="QJL15" s="260"/>
      <c r="QJM15" s="260"/>
      <c r="QJN15" s="260"/>
      <c r="QJO15" s="260"/>
      <c r="QJP15" s="260"/>
      <c r="QJQ15" s="260"/>
      <c r="QJR15" s="260"/>
      <c r="QJS15" s="260"/>
      <c r="QJT15" s="260"/>
      <c r="QJU15" s="260"/>
      <c r="QJV15" s="260"/>
      <c r="QJW15" s="260"/>
      <c r="QJX15" s="260"/>
      <c r="QJY15" s="260"/>
      <c r="QJZ15" s="260"/>
      <c r="QKA15" s="260"/>
      <c r="QKB15" s="260"/>
      <c r="QKC15" s="260"/>
      <c r="QKD15" s="260"/>
      <c r="QKE15" s="260"/>
      <c r="QKF15" s="260"/>
      <c r="QKG15" s="260"/>
      <c r="QKH15" s="260"/>
      <c r="QKI15" s="260"/>
      <c r="QKJ15" s="260"/>
      <c r="QKK15" s="260"/>
      <c r="QKL15" s="260"/>
      <c r="QKM15" s="260"/>
      <c r="QKN15" s="260"/>
      <c r="QKO15" s="260"/>
      <c r="QKP15" s="260"/>
      <c r="QKQ15" s="260"/>
      <c r="QKR15" s="260"/>
      <c r="QKS15" s="260"/>
      <c r="QKT15" s="260"/>
      <c r="QKU15" s="260"/>
      <c r="QKV15" s="260"/>
      <c r="QKW15" s="260"/>
      <c r="QKX15" s="260"/>
      <c r="QKY15" s="260"/>
      <c r="QKZ15" s="260"/>
      <c r="QLA15" s="260"/>
      <c r="QLB15" s="260"/>
      <c r="QLC15" s="260"/>
      <c r="QLD15" s="260"/>
      <c r="QLE15" s="260"/>
      <c r="QLF15" s="260"/>
      <c r="QLG15" s="260"/>
      <c r="QLH15" s="260"/>
      <c r="QLI15" s="260"/>
      <c r="QLJ15" s="260"/>
      <c r="QLK15" s="260"/>
      <c r="QLL15" s="260"/>
      <c r="QLM15" s="260"/>
      <c r="QLN15" s="260"/>
      <c r="QLO15" s="260"/>
      <c r="QLP15" s="260"/>
      <c r="QLQ15" s="260"/>
      <c r="QLR15" s="260"/>
      <c r="QLS15" s="260"/>
      <c r="QLT15" s="260"/>
      <c r="QLU15" s="260"/>
      <c r="QLV15" s="260"/>
      <c r="QLW15" s="260"/>
      <c r="QLX15" s="260"/>
      <c r="QLY15" s="260"/>
      <c r="QLZ15" s="260"/>
      <c r="QMA15" s="260"/>
      <c r="QMB15" s="260"/>
      <c r="QMC15" s="260"/>
      <c r="QMD15" s="260"/>
      <c r="QME15" s="260"/>
      <c r="QMF15" s="260"/>
      <c r="QMG15" s="260"/>
      <c r="QMH15" s="260"/>
      <c r="QMI15" s="260"/>
      <c r="QMJ15" s="260"/>
      <c r="QMK15" s="260"/>
      <c r="QML15" s="260"/>
      <c r="QMM15" s="260"/>
      <c r="QMN15" s="260"/>
      <c r="QMO15" s="260"/>
      <c r="QMP15" s="260"/>
      <c r="QMQ15" s="260"/>
      <c r="QMR15" s="260"/>
      <c r="QMS15" s="260"/>
      <c r="QMT15" s="260"/>
      <c r="QMU15" s="260"/>
      <c r="QMV15" s="260"/>
      <c r="QMW15" s="260"/>
      <c r="QMX15" s="260"/>
      <c r="QMY15" s="260"/>
      <c r="QMZ15" s="260"/>
      <c r="QNA15" s="260"/>
      <c r="QNB15" s="260"/>
      <c r="QNC15" s="260"/>
      <c r="QND15" s="260"/>
      <c r="QNE15" s="260"/>
      <c r="QNF15" s="260"/>
      <c r="QNG15" s="260"/>
      <c r="QNH15" s="260"/>
      <c r="QNI15" s="260"/>
      <c r="QNJ15" s="260"/>
      <c r="QNK15" s="260"/>
      <c r="QNL15" s="260"/>
      <c r="QNM15" s="260"/>
      <c r="QNN15" s="260"/>
      <c r="QNO15" s="260"/>
      <c r="QNP15" s="260"/>
      <c r="QNQ15" s="260"/>
      <c r="QNR15" s="260"/>
      <c r="QNS15" s="260"/>
      <c r="QNT15" s="260"/>
      <c r="QNU15" s="260"/>
      <c r="QNV15" s="260"/>
      <c r="QNW15" s="260"/>
      <c r="QNX15" s="260"/>
      <c r="QNY15" s="260"/>
      <c r="QNZ15" s="260"/>
      <c r="QOA15" s="260"/>
      <c r="QOB15" s="260"/>
      <c r="QOC15" s="260"/>
      <c r="QOD15" s="260"/>
      <c r="QOE15" s="260"/>
      <c r="QOF15" s="260"/>
      <c r="QOG15" s="260"/>
      <c r="QOH15" s="260"/>
      <c r="QOI15" s="260"/>
      <c r="QOJ15" s="260"/>
      <c r="QOK15" s="260"/>
      <c r="QOL15" s="260"/>
      <c r="QOM15" s="260"/>
      <c r="QON15" s="260"/>
      <c r="QOO15" s="260"/>
      <c r="QOP15" s="260"/>
      <c r="QOQ15" s="260"/>
      <c r="QOR15" s="260"/>
      <c r="QOS15" s="260"/>
      <c r="QOT15" s="260"/>
      <c r="QOU15" s="260"/>
      <c r="QOV15" s="260"/>
      <c r="QOW15" s="260"/>
      <c r="QOX15" s="260"/>
      <c r="QOY15" s="260"/>
      <c r="QOZ15" s="260"/>
      <c r="QPA15" s="260"/>
      <c r="QPB15" s="260"/>
      <c r="QPC15" s="260"/>
      <c r="QPD15" s="260"/>
      <c r="QPE15" s="260"/>
      <c r="QPF15" s="260"/>
      <c r="QPG15" s="260"/>
      <c r="QPH15" s="260"/>
      <c r="QPI15" s="260"/>
      <c r="QPJ15" s="260"/>
      <c r="QPK15" s="260"/>
      <c r="QPL15" s="260"/>
      <c r="QPM15" s="260"/>
      <c r="QPN15" s="260"/>
      <c r="QPO15" s="260"/>
      <c r="QPP15" s="260"/>
      <c r="QPQ15" s="260"/>
      <c r="QPR15" s="260"/>
      <c r="QPS15" s="260"/>
      <c r="QPT15" s="260"/>
      <c r="QPU15" s="260"/>
      <c r="QPV15" s="260"/>
      <c r="QPW15" s="260"/>
      <c r="QPX15" s="260"/>
      <c r="QPY15" s="260"/>
      <c r="QPZ15" s="260"/>
      <c r="QQA15" s="260"/>
      <c r="QQB15" s="260"/>
      <c r="QQC15" s="260"/>
      <c r="QQD15" s="260"/>
      <c r="QQE15" s="260"/>
      <c r="QQF15" s="260"/>
      <c r="QQG15" s="260"/>
      <c r="QQH15" s="260"/>
      <c r="QQI15" s="260"/>
      <c r="QQJ15" s="260"/>
      <c r="QQK15" s="260"/>
      <c r="QQL15" s="260"/>
      <c r="QQM15" s="260"/>
      <c r="QQN15" s="260"/>
      <c r="QQO15" s="260"/>
      <c r="QQP15" s="260"/>
      <c r="QQQ15" s="260"/>
      <c r="QQR15" s="260"/>
      <c r="QQS15" s="260"/>
      <c r="QQT15" s="260"/>
      <c r="QQU15" s="260"/>
      <c r="QQV15" s="260"/>
      <c r="QQW15" s="260"/>
      <c r="QQX15" s="260"/>
      <c r="QQY15" s="260"/>
      <c r="QQZ15" s="260"/>
      <c r="QRA15" s="260"/>
      <c r="QRB15" s="260"/>
      <c r="QRC15" s="260"/>
      <c r="QRD15" s="260"/>
      <c r="QRE15" s="260"/>
      <c r="QRF15" s="260"/>
      <c r="QRG15" s="260"/>
      <c r="QRH15" s="260"/>
      <c r="QRI15" s="260"/>
      <c r="QRJ15" s="260"/>
      <c r="QRK15" s="260"/>
      <c r="QRL15" s="260"/>
      <c r="QRM15" s="260"/>
      <c r="QRN15" s="260"/>
      <c r="QRO15" s="260"/>
      <c r="QRP15" s="260"/>
      <c r="QRQ15" s="260"/>
      <c r="QRR15" s="260"/>
      <c r="QRS15" s="260"/>
      <c r="QRT15" s="260"/>
      <c r="QRU15" s="260"/>
      <c r="QRV15" s="260"/>
      <c r="QRW15" s="260"/>
      <c r="QRX15" s="260"/>
      <c r="QRY15" s="260"/>
      <c r="QRZ15" s="260"/>
      <c r="QSA15" s="260"/>
      <c r="QSB15" s="260"/>
      <c r="QSC15" s="260"/>
      <c r="QSD15" s="260"/>
      <c r="QSE15" s="260"/>
      <c r="QSF15" s="260"/>
      <c r="QSG15" s="260"/>
      <c r="QSH15" s="260"/>
      <c r="QSI15" s="260"/>
      <c r="QSJ15" s="260"/>
      <c r="QSK15" s="260"/>
      <c r="QSL15" s="260"/>
      <c r="QSM15" s="260"/>
      <c r="QSN15" s="260"/>
      <c r="QSO15" s="260"/>
      <c r="QSP15" s="260"/>
      <c r="QSQ15" s="260"/>
      <c r="QSR15" s="260"/>
      <c r="QSS15" s="260"/>
      <c r="QST15" s="260"/>
      <c r="QSU15" s="260"/>
      <c r="QSV15" s="260"/>
      <c r="QSW15" s="260"/>
      <c r="QSX15" s="260"/>
      <c r="QSY15" s="260"/>
      <c r="QSZ15" s="260"/>
      <c r="QTA15" s="260"/>
      <c r="QTB15" s="260"/>
      <c r="QTC15" s="260"/>
      <c r="QTD15" s="260"/>
      <c r="QTE15" s="260"/>
      <c r="QTF15" s="260"/>
      <c r="QTG15" s="260"/>
      <c r="QTH15" s="260"/>
      <c r="QTI15" s="260"/>
      <c r="QTJ15" s="260"/>
      <c r="QTK15" s="260"/>
      <c r="QTL15" s="260"/>
      <c r="QTM15" s="260"/>
      <c r="QTN15" s="260"/>
      <c r="QTO15" s="260"/>
      <c r="QTP15" s="260"/>
      <c r="QTQ15" s="260"/>
      <c r="QTR15" s="260"/>
      <c r="QTS15" s="260"/>
      <c r="QTT15" s="260"/>
      <c r="QTU15" s="260"/>
      <c r="QTV15" s="260"/>
      <c r="QTW15" s="260"/>
      <c r="QTX15" s="260"/>
      <c r="QTY15" s="260"/>
      <c r="QTZ15" s="260"/>
      <c r="QUA15" s="260"/>
      <c r="QUB15" s="260"/>
      <c r="QUC15" s="260"/>
      <c r="QUD15" s="260"/>
      <c r="QUE15" s="260"/>
      <c r="QUF15" s="260"/>
      <c r="QUG15" s="260"/>
      <c r="QUH15" s="260"/>
      <c r="QUI15" s="260"/>
      <c r="QUJ15" s="260"/>
      <c r="QUK15" s="260"/>
      <c r="QUL15" s="260"/>
      <c r="QUM15" s="260"/>
      <c r="QUN15" s="260"/>
      <c r="QUO15" s="260"/>
      <c r="QUP15" s="260"/>
      <c r="QUQ15" s="260"/>
      <c r="QUR15" s="260"/>
      <c r="QUS15" s="260"/>
      <c r="QUT15" s="260"/>
      <c r="QUU15" s="260"/>
      <c r="QUV15" s="260"/>
      <c r="QUW15" s="260"/>
      <c r="QUX15" s="260"/>
      <c r="QUY15" s="260"/>
      <c r="QUZ15" s="260"/>
      <c r="QVA15" s="260"/>
      <c r="QVB15" s="260"/>
      <c r="QVC15" s="260"/>
      <c r="QVD15" s="260"/>
      <c r="QVE15" s="260"/>
      <c r="QVF15" s="260"/>
      <c r="QVG15" s="260"/>
      <c r="QVH15" s="260"/>
      <c r="QVI15" s="260"/>
      <c r="QVJ15" s="260"/>
      <c r="QVK15" s="260"/>
      <c r="QVL15" s="260"/>
      <c r="QVM15" s="260"/>
      <c r="QVN15" s="260"/>
      <c r="QVO15" s="260"/>
      <c r="QVP15" s="260"/>
      <c r="QVQ15" s="260"/>
      <c r="QVR15" s="260"/>
      <c r="QVS15" s="260"/>
      <c r="QVT15" s="260"/>
      <c r="QVU15" s="260"/>
      <c r="QVV15" s="260"/>
      <c r="QVW15" s="260"/>
      <c r="QVX15" s="260"/>
      <c r="QVY15" s="260"/>
      <c r="QVZ15" s="260"/>
      <c r="QWA15" s="260"/>
      <c r="QWB15" s="260"/>
      <c r="QWC15" s="260"/>
      <c r="QWD15" s="260"/>
      <c r="QWE15" s="260"/>
      <c r="QWF15" s="260"/>
      <c r="QWG15" s="260"/>
      <c r="QWH15" s="260"/>
      <c r="QWI15" s="260"/>
      <c r="QWJ15" s="260"/>
      <c r="QWK15" s="260"/>
      <c r="QWL15" s="260"/>
      <c r="QWM15" s="260"/>
      <c r="QWN15" s="260"/>
      <c r="QWO15" s="260"/>
      <c r="QWP15" s="260"/>
      <c r="QWQ15" s="260"/>
      <c r="QWR15" s="260"/>
      <c r="QWS15" s="260"/>
      <c r="QWT15" s="260"/>
      <c r="QWU15" s="260"/>
      <c r="QWV15" s="260"/>
      <c r="QWW15" s="260"/>
      <c r="QWX15" s="260"/>
      <c r="QWY15" s="260"/>
      <c r="QWZ15" s="260"/>
      <c r="QXA15" s="260"/>
      <c r="QXB15" s="260"/>
      <c r="QXC15" s="260"/>
      <c r="QXD15" s="260"/>
      <c r="QXE15" s="260"/>
      <c r="QXF15" s="260"/>
      <c r="QXG15" s="260"/>
      <c r="QXH15" s="260"/>
      <c r="QXI15" s="260"/>
      <c r="QXJ15" s="260"/>
      <c r="QXK15" s="260"/>
      <c r="QXL15" s="260"/>
      <c r="QXM15" s="260"/>
      <c r="QXN15" s="260"/>
      <c r="QXO15" s="260"/>
      <c r="QXP15" s="260"/>
      <c r="QXQ15" s="260"/>
      <c r="QXR15" s="260"/>
      <c r="QXS15" s="260"/>
      <c r="QXT15" s="260"/>
      <c r="QXU15" s="260"/>
      <c r="QXV15" s="260"/>
      <c r="QXW15" s="260"/>
      <c r="QXX15" s="260"/>
      <c r="QXY15" s="260"/>
      <c r="QXZ15" s="260"/>
      <c r="QYA15" s="260"/>
      <c r="QYB15" s="260"/>
      <c r="QYC15" s="260"/>
      <c r="QYD15" s="260"/>
      <c r="QYE15" s="260"/>
      <c r="QYF15" s="260"/>
      <c r="QYG15" s="260"/>
      <c r="QYH15" s="260"/>
      <c r="QYI15" s="260"/>
      <c r="QYJ15" s="260"/>
      <c r="QYK15" s="260"/>
      <c r="QYL15" s="260"/>
      <c r="QYM15" s="260"/>
      <c r="QYN15" s="260"/>
      <c r="QYO15" s="260"/>
      <c r="QYP15" s="260"/>
      <c r="QYQ15" s="260"/>
      <c r="QYR15" s="260"/>
      <c r="QYS15" s="260"/>
      <c r="QYT15" s="260"/>
      <c r="QYU15" s="260"/>
      <c r="QYV15" s="260"/>
      <c r="QYW15" s="260"/>
      <c r="QYX15" s="260"/>
      <c r="QYY15" s="260"/>
      <c r="QYZ15" s="260"/>
      <c r="QZA15" s="260"/>
      <c r="QZB15" s="260"/>
      <c r="QZC15" s="260"/>
      <c r="QZD15" s="260"/>
      <c r="QZE15" s="260"/>
      <c r="QZF15" s="260"/>
      <c r="QZG15" s="260"/>
      <c r="QZH15" s="260"/>
      <c r="QZI15" s="260"/>
      <c r="QZJ15" s="260"/>
      <c r="QZK15" s="260"/>
      <c r="QZL15" s="260"/>
      <c r="QZM15" s="260"/>
      <c r="QZN15" s="260"/>
      <c r="QZO15" s="260"/>
      <c r="QZP15" s="260"/>
      <c r="QZQ15" s="260"/>
      <c r="QZR15" s="260"/>
      <c r="QZS15" s="260"/>
      <c r="QZT15" s="260"/>
      <c r="QZU15" s="260"/>
      <c r="QZV15" s="260"/>
      <c r="QZW15" s="260"/>
      <c r="QZX15" s="260"/>
      <c r="QZY15" s="260"/>
      <c r="QZZ15" s="260"/>
      <c r="RAA15" s="260"/>
      <c r="RAB15" s="260"/>
      <c r="RAC15" s="260"/>
      <c r="RAD15" s="260"/>
      <c r="RAE15" s="260"/>
      <c r="RAF15" s="260"/>
      <c r="RAG15" s="260"/>
      <c r="RAH15" s="260"/>
      <c r="RAI15" s="260"/>
      <c r="RAJ15" s="260"/>
      <c r="RAK15" s="260"/>
      <c r="RAL15" s="260"/>
      <c r="RAM15" s="260"/>
      <c r="RAN15" s="260"/>
      <c r="RAO15" s="260"/>
      <c r="RAP15" s="260"/>
      <c r="RAQ15" s="260"/>
      <c r="RAR15" s="260"/>
      <c r="RAS15" s="260"/>
      <c r="RAT15" s="260"/>
      <c r="RAU15" s="260"/>
      <c r="RAV15" s="260"/>
      <c r="RAW15" s="260"/>
      <c r="RAX15" s="260"/>
      <c r="RAY15" s="260"/>
      <c r="RAZ15" s="260"/>
      <c r="RBA15" s="260"/>
      <c r="RBB15" s="260"/>
      <c r="RBC15" s="260"/>
      <c r="RBD15" s="260"/>
      <c r="RBE15" s="260"/>
      <c r="RBF15" s="260"/>
      <c r="RBG15" s="260"/>
      <c r="RBH15" s="260"/>
      <c r="RBI15" s="260"/>
      <c r="RBJ15" s="260"/>
      <c r="RBK15" s="260"/>
      <c r="RBL15" s="260"/>
      <c r="RBM15" s="260"/>
      <c r="RBN15" s="260"/>
      <c r="RBO15" s="260"/>
      <c r="RBP15" s="260"/>
      <c r="RBQ15" s="260"/>
      <c r="RBR15" s="260"/>
      <c r="RBS15" s="260"/>
      <c r="RBT15" s="260"/>
      <c r="RBU15" s="260"/>
      <c r="RBV15" s="260"/>
      <c r="RBW15" s="260"/>
      <c r="RBX15" s="260"/>
      <c r="RBY15" s="260"/>
      <c r="RBZ15" s="260"/>
      <c r="RCA15" s="260"/>
      <c r="RCB15" s="260"/>
      <c r="RCC15" s="260"/>
      <c r="RCD15" s="260"/>
      <c r="RCE15" s="260"/>
      <c r="RCF15" s="260"/>
      <c r="RCG15" s="260"/>
      <c r="RCH15" s="260"/>
      <c r="RCI15" s="260"/>
      <c r="RCJ15" s="260"/>
      <c r="RCK15" s="260"/>
      <c r="RCL15" s="260"/>
      <c r="RCM15" s="260"/>
      <c r="RCN15" s="260"/>
      <c r="RCO15" s="260"/>
      <c r="RCP15" s="260"/>
      <c r="RCQ15" s="260"/>
      <c r="RCR15" s="260"/>
      <c r="RCS15" s="260"/>
      <c r="RCT15" s="260"/>
      <c r="RCU15" s="260"/>
      <c r="RCV15" s="260"/>
      <c r="RCW15" s="260"/>
      <c r="RCX15" s="260"/>
      <c r="RCY15" s="260"/>
      <c r="RCZ15" s="260"/>
      <c r="RDA15" s="260"/>
      <c r="RDB15" s="260"/>
      <c r="RDC15" s="260"/>
      <c r="RDD15" s="260"/>
      <c r="RDE15" s="260"/>
      <c r="RDF15" s="260"/>
      <c r="RDG15" s="260"/>
      <c r="RDH15" s="260"/>
      <c r="RDI15" s="260"/>
      <c r="RDJ15" s="260"/>
      <c r="RDK15" s="260"/>
      <c r="RDL15" s="260"/>
      <c r="RDM15" s="260"/>
      <c r="RDN15" s="260"/>
      <c r="RDO15" s="260"/>
      <c r="RDP15" s="260"/>
      <c r="RDQ15" s="260"/>
      <c r="RDR15" s="260"/>
      <c r="RDS15" s="260"/>
      <c r="RDT15" s="260"/>
      <c r="RDU15" s="260"/>
      <c r="RDV15" s="260"/>
      <c r="RDW15" s="260"/>
      <c r="RDX15" s="260"/>
      <c r="RDY15" s="260"/>
      <c r="RDZ15" s="260"/>
      <c r="REA15" s="260"/>
      <c r="REB15" s="260"/>
      <c r="REC15" s="260"/>
      <c r="RED15" s="260"/>
      <c r="REE15" s="260"/>
      <c r="REF15" s="260"/>
      <c r="REG15" s="260"/>
      <c r="REH15" s="260"/>
      <c r="REI15" s="260"/>
      <c r="REJ15" s="260"/>
      <c r="REK15" s="260"/>
      <c r="REL15" s="260"/>
      <c r="REM15" s="260"/>
      <c r="REN15" s="260"/>
      <c r="REO15" s="260"/>
      <c r="REP15" s="260"/>
      <c r="REQ15" s="260"/>
      <c r="RER15" s="260"/>
      <c r="RES15" s="260"/>
      <c r="RET15" s="260"/>
      <c r="REU15" s="260"/>
      <c r="REV15" s="260"/>
      <c r="REW15" s="260"/>
      <c r="REX15" s="260"/>
      <c r="REY15" s="260"/>
      <c r="REZ15" s="260"/>
      <c r="RFA15" s="260"/>
      <c r="RFB15" s="260"/>
      <c r="RFC15" s="260"/>
      <c r="RFD15" s="260"/>
      <c r="RFE15" s="260"/>
      <c r="RFF15" s="260"/>
      <c r="RFG15" s="260"/>
      <c r="RFH15" s="260"/>
      <c r="RFI15" s="260"/>
      <c r="RFJ15" s="260"/>
      <c r="RFK15" s="260"/>
      <c r="RFL15" s="260"/>
      <c r="RFM15" s="260"/>
      <c r="RFN15" s="260"/>
      <c r="RFO15" s="260"/>
      <c r="RFP15" s="260"/>
      <c r="RFQ15" s="260"/>
      <c r="RFR15" s="260"/>
      <c r="RFS15" s="260"/>
      <c r="RFT15" s="260"/>
      <c r="RFU15" s="260"/>
      <c r="RFV15" s="260"/>
      <c r="RFW15" s="260"/>
      <c r="RFX15" s="260"/>
      <c r="RFY15" s="260"/>
      <c r="RFZ15" s="260"/>
      <c r="RGA15" s="260"/>
      <c r="RGB15" s="260"/>
      <c r="RGC15" s="260"/>
      <c r="RGD15" s="260"/>
      <c r="RGE15" s="260"/>
      <c r="RGF15" s="260"/>
      <c r="RGG15" s="260"/>
      <c r="RGH15" s="260"/>
      <c r="RGI15" s="260"/>
      <c r="RGJ15" s="260"/>
      <c r="RGK15" s="260"/>
      <c r="RGL15" s="260"/>
      <c r="RGM15" s="260"/>
      <c r="RGN15" s="260"/>
      <c r="RGO15" s="260"/>
      <c r="RGP15" s="260"/>
      <c r="RGQ15" s="260"/>
      <c r="RGR15" s="260"/>
      <c r="RGS15" s="260"/>
      <c r="RGT15" s="260"/>
      <c r="RGU15" s="260"/>
      <c r="RGV15" s="260"/>
      <c r="RGW15" s="260"/>
      <c r="RGX15" s="260"/>
      <c r="RGY15" s="260"/>
      <c r="RGZ15" s="260"/>
      <c r="RHA15" s="260"/>
      <c r="RHB15" s="260"/>
      <c r="RHC15" s="260"/>
      <c r="RHD15" s="260"/>
      <c r="RHE15" s="260"/>
      <c r="RHF15" s="260"/>
      <c r="RHG15" s="260"/>
      <c r="RHH15" s="260"/>
      <c r="RHI15" s="260"/>
      <c r="RHJ15" s="260"/>
      <c r="RHK15" s="260"/>
      <c r="RHL15" s="260"/>
      <c r="RHM15" s="260"/>
      <c r="RHN15" s="260"/>
      <c r="RHO15" s="260"/>
      <c r="RHP15" s="260"/>
      <c r="RHQ15" s="260"/>
      <c r="RHR15" s="260"/>
      <c r="RHS15" s="260"/>
      <c r="RHT15" s="260"/>
      <c r="RHU15" s="260"/>
      <c r="RHV15" s="260"/>
      <c r="RHW15" s="260"/>
      <c r="RHX15" s="260"/>
      <c r="RHY15" s="260"/>
      <c r="RHZ15" s="260"/>
      <c r="RIA15" s="260"/>
      <c r="RIB15" s="260"/>
      <c r="RIC15" s="260"/>
      <c r="RID15" s="260"/>
      <c r="RIE15" s="260"/>
      <c r="RIF15" s="260"/>
      <c r="RIG15" s="260"/>
      <c r="RIH15" s="260"/>
      <c r="RII15" s="260"/>
      <c r="RIJ15" s="260"/>
      <c r="RIK15" s="260"/>
      <c r="RIL15" s="260"/>
      <c r="RIM15" s="260"/>
      <c r="RIN15" s="260"/>
      <c r="RIO15" s="260"/>
      <c r="RIP15" s="260"/>
      <c r="RIQ15" s="260"/>
      <c r="RIR15" s="260"/>
      <c r="RIS15" s="260"/>
      <c r="RIT15" s="260"/>
      <c r="RIU15" s="260"/>
      <c r="RIV15" s="260"/>
      <c r="RIW15" s="260"/>
      <c r="RIX15" s="260"/>
      <c r="RIY15" s="260"/>
      <c r="RIZ15" s="260"/>
      <c r="RJA15" s="260"/>
      <c r="RJB15" s="260"/>
      <c r="RJC15" s="260"/>
      <c r="RJD15" s="260"/>
      <c r="RJE15" s="260"/>
      <c r="RJF15" s="260"/>
      <c r="RJG15" s="260"/>
      <c r="RJH15" s="260"/>
      <c r="RJI15" s="260"/>
      <c r="RJJ15" s="260"/>
      <c r="RJK15" s="260"/>
      <c r="RJL15" s="260"/>
      <c r="RJM15" s="260"/>
      <c r="RJN15" s="260"/>
      <c r="RJO15" s="260"/>
      <c r="RJP15" s="260"/>
      <c r="RJQ15" s="260"/>
      <c r="RJR15" s="260"/>
      <c r="RJS15" s="260"/>
      <c r="RJT15" s="260"/>
      <c r="RJU15" s="260"/>
      <c r="RJV15" s="260"/>
      <c r="RJW15" s="260"/>
      <c r="RJX15" s="260"/>
      <c r="RJY15" s="260"/>
      <c r="RJZ15" s="260"/>
      <c r="RKA15" s="260"/>
      <c r="RKB15" s="260"/>
      <c r="RKC15" s="260"/>
      <c r="RKD15" s="260"/>
      <c r="RKE15" s="260"/>
      <c r="RKF15" s="260"/>
      <c r="RKG15" s="260"/>
      <c r="RKH15" s="260"/>
      <c r="RKI15" s="260"/>
      <c r="RKJ15" s="260"/>
      <c r="RKK15" s="260"/>
      <c r="RKL15" s="260"/>
      <c r="RKM15" s="260"/>
      <c r="RKN15" s="260"/>
      <c r="RKO15" s="260"/>
      <c r="RKP15" s="260"/>
      <c r="RKQ15" s="260"/>
      <c r="RKR15" s="260"/>
      <c r="RKS15" s="260"/>
      <c r="RKT15" s="260"/>
      <c r="RKU15" s="260"/>
      <c r="RKV15" s="260"/>
      <c r="RKW15" s="260"/>
      <c r="RKX15" s="260"/>
      <c r="RKY15" s="260"/>
      <c r="RKZ15" s="260"/>
      <c r="RLA15" s="260"/>
      <c r="RLB15" s="260"/>
      <c r="RLC15" s="260"/>
      <c r="RLD15" s="260"/>
      <c r="RLE15" s="260"/>
      <c r="RLF15" s="260"/>
      <c r="RLG15" s="260"/>
      <c r="RLH15" s="260"/>
      <c r="RLI15" s="260"/>
      <c r="RLJ15" s="260"/>
      <c r="RLK15" s="260"/>
      <c r="RLL15" s="260"/>
      <c r="RLM15" s="260"/>
      <c r="RLN15" s="260"/>
      <c r="RLO15" s="260"/>
      <c r="RLP15" s="260"/>
      <c r="RLQ15" s="260"/>
      <c r="RLR15" s="260"/>
      <c r="RLS15" s="260"/>
      <c r="RLT15" s="260"/>
      <c r="RLU15" s="260"/>
      <c r="RLV15" s="260"/>
      <c r="RLW15" s="260"/>
      <c r="RLX15" s="260"/>
      <c r="RLY15" s="260"/>
      <c r="RLZ15" s="260"/>
      <c r="RMA15" s="260"/>
      <c r="RMB15" s="260"/>
      <c r="RMC15" s="260"/>
      <c r="RMD15" s="260"/>
      <c r="RME15" s="260"/>
      <c r="RMF15" s="260"/>
      <c r="RMG15" s="260"/>
      <c r="RMH15" s="260"/>
      <c r="RMI15" s="260"/>
      <c r="RMJ15" s="260"/>
      <c r="RMK15" s="260"/>
      <c r="RML15" s="260"/>
      <c r="RMM15" s="260"/>
      <c r="RMN15" s="260"/>
      <c r="RMO15" s="260"/>
      <c r="RMP15" s="260"/>
      <c r="RMQ15" s="260"/>
      <c r="RMR15" s="260"/>
      <c r="RMS15" s="260"/>
      <c r="RMT15" s="260"/>
      <c r="RMU15" s="260"/>
      <c r="RMV15" s="260"/>
      <c r="RMW15" s="260"/>
      <c r="RMX15" s="260"/>
      <c r="RMY15" s="260"/>
      <c r="RMZ15" s="260"/>
      <c r="RNA15" s="260"/>
      <c r="RNB15" s="260"/>
      <c r="RNC15" s="260"/>
      <c r="RND15" s="260"/>
      <c r="RNE15" s="260"/>
      <c r="RNF15" s="260"/>
      <c r="RNG15" s="260"/>
      <c r="RNH15" s="260"/>
      <c r="RNI15" s="260"/>
      <c r="RNJ15" s="260"/>
      <c r="RNK15" s="260"/>
      <c r="RNL15" s="260"/>
      <c r="RNM15" s="260"/>
      <c r="RNN15" s="260"/>
      <c r="RNO15" s="260"/>
      <c r="RNP15" s="260"/>
      <c r="RNQ15" s="260"/>
      <c r="RNR15" s="260"/>
      <c r="RNS15" s="260"/>
      <c r="RNT15" s="260"/>
      <c r="RNU15" s="260"/>
      <c r="RNV15" s="260"/>
      <c r="RNW15" s="260"/>
      <c r="RNX15" s="260"/>
      <c r="RNY15" s="260"/>
      <c r="RNZ15" s="260"/>
      <c r="ROA15" s="260"/>
      <c r="ROB15" s="260"/>
      <c r="ROC15" s="260"/>
      <c r="ROD15" s="260"/>
      <c r="ROE15" s="260"/>
      <c r="ROF15" s="260"/>
      <c r="ROG15" s="260"/>
      <c r="ROH15" s="260"/>
      <c r="ROI15" s="260"/>
      <c r="ROJ15" s="260"/>
      <c r="ROK15" s="260"/>
      <c r="ROL15" s="260"/>
      <c r="ROM15" s="260"/>
      <c r="RON15" s="260"/>
      <c r="ROO15" s="260"/>
      <c r="ROP15" s="260"/>
      <c r="ROQ15" s="260"/>
      <c r="ROR15" s="260"/>
      <c r="ROS15" s="260"/>
      <c r="ROT15" s="260"/>
      <c r="ROU15" s="260"/>
      <c r="ROV15" s="260"/>
      <c r="ROW15" s="260"/>
      <c r="ROX15" s="260"/>
      <c r="ROY15" s="260"/>
      <c r="ROZ15" s="260"/>
      <c r="RPA15" s="260"/>
      <c r="RPB15" s="260"/>
      <c r="RPC15" s="260"/>
      <c r="RPD15" s="260"/>
      <c r="RPE15" s="260"/>
      <c r="RPF15" s="260"/>
      <c r="RPG15" s="260"/>
      <c r="RPH15" s="260"/>
      <c r="RPI15" s="260"/>
      <c r="RPJ15" s="260"/>
      <c r="RPK15" s="260"/>
      <c r="RPL15" s="260"/>
      <c r="RPM15" s="260"/>
      <c r="RPN15" s="260"/>
      <c r="RPO15" s="260"/>
      <c r="RPP15" s="260"/>
      <c r="RPQ15" s="260"/>
      <c r="RPR15" s="260"/>
      <c r="RPS15" s="260"/>
      <c r="RPT15" s="260"/>
      <c r="RPU15" s="260"/>
      <c r="RPV15" s="260"/>
      <c r="RPW15" s="260"/>
      <c r="RPX15" s="260"/>
      <c r="RPY15" s="260"/>
      <c r="RPZ15" s="260"/>
      <c r="RQA15" s="260"/>
      <c r="RQB15" s="260"/>
      <c r="RQC15" s="260"/>
      <c r="RQD15" s="260"/>
      <c r="RQE15" s="260"/>
      <c r="RQF15" s="260"/>
      <c r="RQG15" s="260"/>
      <c r="RQH15" s="260"/>
      <c r="RQI15" s="260"/>
      <c r="RQJ15" s="260"/>
      <c r="RQK15" s="260"/>
      <c r="RQL15" s="260"/>
      <c r="RQM15" s="260"/>
      <c r="RQN15" s="260"/>
      <c r="RQO15" s="260"/>
      <c r="RQP15" s="260"/>
      <c r="RQQ15" s="260"/>
      <c r="RQR15" s="260"/>
      <c r="RQS15" s="260"/>
      <c r="RQT15" s="260"/>
      <c r="RQU15" s="260"/>
      <c r="RQV15" s="260"/>
      <c r="RQW15" s="260"/>
      <c r="RQX15" s="260"/>
      <c r="RQY15" s="260"/>
      <c r="RQZ15" s="260"/>
      <c r="RRA15" s="260"/>
      <c r="RRB15" s="260"/>
      <c r="RRC15" s="260"/>
      <c r="RRD15" s="260"/>
      <c r="RRE15" s="260"/>
      <c r="RRF15" s="260"/>
      <c r="RRG15" s="260"/>
      <c r="RRH15" s="260"/>
      <c r="RRI15" s="260"/>
      <c r="RRJ15" s="260"/>
      <c r="RRK15" s="260"/>
      <c r="RRL15" s="260"/>
      <c r="RRM15" s="260"/>
      <c r="RRN15" s="260"/>
      <c r="RRO15" s="260"/>
      <c r="RRP15" s="260"/>
      <c r="RRQ15" s="260"/>
      <c r="RRR15" s="260"/>
      <c r="RRS15" s="260"/>
      <c r="RRT15" s="260"/>
      <c r="RRU15" s="260"/>
      <c r="RRV15" s="260"/>
      <c r="RRW15" s="260"/>
      <c r="RRX15" s="260"/>
      <c r="RRY15" s="260"/>
      <c r="RRZ15" s="260"/>
      <c r="RSA15" s="260"/>
      <c r="RSB15" s="260"/>
      <c r="RSC15" s="260"/>
      <c r="RSD15" s="260"/>
      <c r="RSE15" s="260"/>
      <c r="RSF15" s="260"/>
      <c r="RSG15" s="260"/>
      <c r="RSH15" s="260"/>
      <c r="RSI15" s="260"/>
      <c r="RSJ15" s="260"/>
      <c r="RSK15" s="260"/>
      <c r="RSL15" s="260"/>
      <c r="RSM15" s="260"/>
      <c r="RSN15" s="260"/>
      <c r="RSO15" s="260"/>
      <c r="RSP15" s="260"/>
      <c r="RSQ15" s="260"/>
      <c r="RSR15" s="260"/>
      <c r="RSS15" s="260"/>
      <c r="RST15" s="260"/>
      <c r="RSU15" s="260"/>
      <c r="RSV15" s="260"/>
      <c r="RSW15" s="260"/>
      <c r="RSX15" s="260"/>
      <c r="RSY15" s="260"/>
      <c r="RSZ15" s="260"/>
      <c r="RTA15" s="260"/>
      <c r="RTB15" s="260"/>
      <c r="RTC15" s="260"/>
      <c r="RTD15" s="260"/>
      <c r="RTE15" s="260"/>
      <c r="RTF15" s="260"/>
      <c r="RTG15" s="260"/>
      <c r="RTH15" s="260"/>
      <c r="RTI15" s="260"/>
      <c r="RTJ15" s="260"/>
      <c r="RTK15" s="260"/>
      <c r="RTL15" s="260"/>
      <c r="RTM15" s="260"/>
      <c r="RTN15" s="260"/>
      <c r="RTO15" s="260"/>
      <c r="RTP15" s="260"/>
      <c r="RTQ15" s="260"/>
      <c r="RTR15" s="260"/>
      <c r="RTS15" s="260"/>
      <c r="RTT15" s="260"/>
      <c r="RTU15" s="260"/>
      <c r="RTV15" s="260"/>
      <c r="RTW15" s="260"/>
      <c r="RTX15" s="260"/>
      <c r="RTY15" s="260"/>
      <c r="RTZ15" s="260"/>
      <c r="RUA15" s="260"/>
      <c r="RUB15" s="260"/>
      <c r="RUC15" s="260"/>
      <c r="RUD15" s="260"/>
      <c r="RUE15" s="260"/>
      <c r="RUF15" s="260"/>
      <c r="RUG15" s="260"/>
      <c r="RUH15" s="260"/>
      <c r="RUI15" s="260"/>
      <c r="RUJ15" s="260"/>
      <c r="RUK15" s="260"/>
      <c r="RUL15" s="260"/>
      <c r="RUM15" s="260"/>
      <c r="RUN15" s="260"/>
      <c r="RUO15" s="260"/>
      <c r="RUP15" s="260"/>
      <c r="RUQ15" s="260"/>
      <c r="RUR15" s="260"/>
      <c r="RUS15" s="260"/>
      <c r="RUT15" s="260"/>
      <c r="RUU15" s="260"/>
      <c r="RUV15" s="260"/>
      <c r="RUW15" s="260"/>
      <c r="RUX15" s="260"/>
      <c r="RUY15" s="260"/>
      <c r="RUZ15" s="260"/>
      <c r="RVA15" s="260"/>
      <c r="RVB15" s="260"/>
      <c r="RVC15" s="260"/>
      <c r="RVD15" s="260"/>
      <c r="RVE15" s="260"/>
      <c r="RVF15" s="260"/>
      <c r="RVG15" s="260"/>
      <c r="RVH15" s="260"/>
      <c r="RVI15" s="260"/>
      <c r="RVJ15" s="260"/>
      <c r="RVK15" s="260"/>
      <c r="RVL15" s="260"/>
      <c r="RVM15" s="260"/>
      <c r="RVN15" s="260"/>
      <c r="RVO15" s="260"/>
      <c r="RVP15" s="260"/>
      <c r="RVQ15" s="260"/>
      <c r="RVR15" s="260"/>
      <c r="RVS15" s="260"/>
      <c r="RVT15" s="260"/>
      <c r="RVU15" s="260"/>
      <c r="RVV15" s="260"/>
      <c r="RVW15" s="260"/>
      <c r="RVX15" s="260"/>
      <c r="RVY15" s="260"/>
      <c r="RVZ15" s="260"/>
      <c r="RWA15" s="260"/>
      <c r="RWB15" s="260"/>
      <c r="RWC15" s="260"/>
      <c r="RWD15" s="260"/>
      <c r="RWE15" s="260"/>
      <c r="RWF15" s="260"/>
      <c r="RWG15" s="260"/>
      <c r="RWH15" s="260"/>
      <c r="RWI15" s="260"/>
      <c r="RWJ15" s="260"/>
      <c r="RWK15" s="260"/>
      <c r="RWL15" s="260"/>
      <c r="RWM15" s="260"/>
      <c r="RWN15" s="260"/>
      <c r="RWO15" s="260"/>
      <c r="RWP15" s="260"/>
      <c r="RWQ15" s="260"/>
      <c r="RWR15" s="260"/>
      <c r="RWS15" s="260"/>
      <c r="RWT15" s="260"/>
      <c r="RWU15" s="260"/>
      <c r="RWV15" s="260"/>
      <c r="RWW15" s="260"/>
      <c r="RWX15" s="260"/>
      <c r="RWY15" s="260"/>
      <c r="RWZ15" s="260"/>
      <c r="RXA15" s="260"/>
      <c r="RXB15" s="260"/>
      <c r="RXC15" s="260"/>
      <c r="RXD15" s="260"/>
      <c r="RXE15" s="260"/>
      <c r="RXF15" s="260"/>
      <c r="RXG15" s="260"/>
      <c r="RXH15" s="260"/>
      <c r="RXI15" s="260"/>
      <c r="RXJ15" s="260"/>
      <c r="RXK15" s="260"/>
      <c r="RXL15" s="260"/>
      <c r="RXM15" s="260"/>
      <c r="RXN15" s="260"/>
      <c r="RXO15" s="260"/>
      <c r="RXP15" s="260"/>
      <c r="RXQ15" s="260"/>
      <c r="RXR15" s="260"/>
      <c r="RXS15" s="260"/>
      <c r="RXT15" s="260"/>
      <c r="RXU15" s="260"/>
      <c r="RXV15" s="260"/>
      <c r="RXW15" s="260"/>
      <c r="RXX15" s="260"/>
      <c r="RXY15" s="260"/>
      <c r="RXZ15" s="260"/>
      <c r="RYA15" s="260"/>
      <c r="RYB15" s="260"/>
      <c r="RYC15" s="260"/>
      <c r="RYD15" s="260"/>
      <c r="RYE15" s="260"/>
      <c r="RYF15" s="260"/>
      <c r="RYG15" s="260"/>
      <c r="RYH15" s="260"/>
      <c r="RYI15" s="260"/>
      <c r="RYJ15" s="260"/>
      <c r="RYK15" s="260"/>
      <c r="RYL15" s="260"/>
      <c r="RYM15" s="260"/>
      <c r="RYN15" s="260"/>
      <c r="RYO15" s="260"/>
      <c r="RYP15" s="260"/>
      <c r="RYQ15" s="260"/>
      <c r="RYR15" s="260"/>
      <c r="RYS15" s="260"/>
      <c r="RYT15" s="260"/>
      <c r="RYU15" s="260"/>
      <c r="RYV15" s="260"/>
      <c r="RYW15" s="260"/>
      <c r="RYX15" s="260"/>
      <c r="RYY15" s="260"/>
      <c r="RYZ15" s="260"/>
      <c r="RZA15" s="260"/>
      <c r="RZB15" s="260"/>
      <c r="RZC15" s="260"/>
      <c r="RZD15" s="260"/>
      <c r="RZE15" s="260"/>
      <c r="RZF15" s="260"/>
      <c r="RZG15" s="260"/>
      <c r="RZH15" s="260"/>
      <c r="RZI15" s="260"/>
      <c r="RZJ15" s="260"/>
      <c r="RZK15" s="260"/>
      <c r="RZL15" s="260"/>
      <c r="RZM15" s="260"/>
      <c r="RZN15" s="260"/>
      <c r="RZO15" s="260"/>
      <c r="RZP15" s="260"/>
      <c r="RZQ15" s="260"/>
      <c r="RZR15" s="260"/>
      <c r="RZS15" s="260"/>
      <c r="RZT15" s="260"/>
      <c r="RZU15" s="260"/>
      <c r="RZV15" s="260"/>
      <c r="RZW15" s="260"/>
      <c r="RZX15" s="260"/>
      <c r="RZY15" s="260"/>
      <c r="RZZ15" s="260"/>
      <c r="SAA15" s="260"/>
      <c r="SAB15" s="260"/>
      <c r="SAC15" s="260"/>
      <c r="SAD15" s="260"/>
      <c r="SAE15" s="260"/>
      <c r="SAF15" s="260"/>
      <c r="SAG15" s="260"/>
      <c r="SAH15" s="260"/>
      <c r="SAI15" s="260"/>
      <c r="SAJ15" s="260"/>
      <c r="SAK15" s="260"/>
      <c r="SAL15" s="260"/>
      <c r="SAM15" s="260"/>
      <c r="SAN15" s="260"/>
      <c r="SAO15" s="260"/>
      <c r="SAP15" s="260"/>
      <c r="SAQ15" s="260"/>
      <c r="SAR15" s="260"/>
      <c r="SAS15" s="260"/>
      <c r="SAT15" s="260"/>
      <c r="SAU15" s="260"/>
      <c r="SAV15" s="260"/>
      <c r="SAW15" s="260"/>
      <c r="SAX15" s="260"/>
      <c r="SAY15" s="260"/>
      <c r="SAZ15" s="260"/>
      <c r="SBA15" s="260"/>
      <c r="SBB15" s="260"/>
      <c r="SBC15" s="260"/>
      <c r="SBD15" s="260"/>
      <c r="SBE15" s="260"/>
      <c r="SBF15" s="260"/>
      <c r="SBG15" s="260"/>
      <c r="SBH15" s="260"/>
      <c r="SBI15" s="260"/>
      <c r="SBJ15" s="260"/>
      <c r="SBK15" s="260"/>
      <c r="SBL15" s="260"/>
      <c r="SBM15" s="260"/>
      <c r="SBN15" s="260"/>
      <c r="SBO15" s="260"/>
      <c r="SBP15" s="260"/>
      <c r="SBQ15" s="260"/>
      <c r="SBR15" s="260"/>
      <c r="SBS15" s="260"/>
      <c r="SBT15" s="260"/>
      <c r="SBU15" s="260"/>
      <c r="SBV15" s="260"/>
      <c r="SBW15" s="260"/>
      <c r="SBX15" s="260"/>
      <c r="SBY15" s="260"/>
      <c r="SBZ15" s="260"/>
      <c r="SCA15" s="260"/>
      <c r="SCB15" s="260"/>
      <c r="SCC15" s="260"/>
      <c r="SCD15" s="260"/>
      <c r="SCE15" s="260"/>
      <c r="SCF15" s="260"/>
      <c r="SCG15" s="260"/>
      <c r="SCH15" s="260"/>
      <c r="SCI15" s="260"/>
      <c r="SCJ15" s="260"/>
      <c r="SCK15" s="260"/>
      <c r="SCL15" s="260"/>
      <c r="SCM15" s="260"/>
      <c r="SCN15" s="260"/>
      <c r="SCO15" s="260"/>
      <c r="SCP15" s="260"/>
      <c r="SCQ15" s="260"/>
      <c r="SCR15" s="260"/>
      <c r="SCS15" s="260"/>
      <c r="SCT15" s="260"/>
      <c r="SCU15" s="260"/>
      <c r="SCV15" s="260"/>
      <c r="SCW15" s="260"/>
      <c r="SCX15" s="260"/>
      <c r="SCY15" s="260"/>
      <c r="SCZ15" s="260"/>
      <c r="SDA15" s="260"/>
      <c r="SDB15" s="260"/>
      <c r="SDC15" s="260"/>
      <c r="SDD15" s="260"/>
      <c r="SDE15" s="260"/>
      <c r="SDF15" s="260"/>
      <c r="SDG15" s="260"/>
      <c r="SDH15" s="260"/>
      <c r="SDI15" s="260"/>
      <c r="SDJ15" s="260"/>
      <c r="SDK15" s="260"/>
      <c r="SDL15" s="260"/>
      <c r="SDM15" s="260"/>
      <c r="SDN15" s="260"/>
      <c r="SDO15" s="260"/>
      <c r="SDP15" s="260"/>
      <c r="SDQ15" s="260"/>
      <c r="SDR15" s="260"/>
      <c r="SDS15" s="260"/>
      <c r="SDT15" s="260"/>
      <c r="SDU15" s="260"/>
      <c r="SDV15" s="260"/>
      <c r="SDW15" s="260"/>
      <c r="SDX15" s="260"/>
      <c r="SDY15" s="260"/>
      <c r="SDZ15" s="260"/>
      <c r="SEA15" s="260"/>
      <c r="SEB15" s="260"/>
      <c r="SEC15" s="260"/>
      <c r="SED15" s="260"/>
      <c r="SEE15" s="260"/>
      <c r="SEF15" s="260"/>
      <c r="SEG15" s="260"/>
      <c r="SEH15" s="260"/>
      <c r="SEI15" s="260"/>
      <c r="SEJ15" s="260"/>
      <c r="SEK15" s="260"/>
      <c r="SEL15" s="260"/>
      <c r="SEM15" s="260"/>
      <c r="SEN15" s="260"/>
      <c r="SEO15" s="260"/>
      <c r="SEP15" s="260"/>
      <c r="SEQ15" s="260"/>
      <c r="SER15" s="260"/>
      <c r="SES15" s="260"/>
      <c r="SET15" s="260"/>
      <c r="SEU15" s="260"/>
      <c r="SEV15" s="260"/>
      <c r="SEW15" s="260"/>
      <c r="SEX15" s="260"/>
      <c r="SEY15" s="260"/>
      <c r="SEZ15" s="260"/>
      <c r="SFA15" s="260"/>
      <c r="SFB15" s="260"/>
      <c r="SFC15" s="260"/>
      <c r="SFD15" s="260"/>
      <c r="SFE15" s="260"/>
      <c r="SFF15" s="260"/>
      <c r="SFG15" s="260"/>
      <c r="SFH15" s="260"/>
      <c r="SFI15" s="260"/>
      <c r="SFJ15" s="260"/>
      <c r="SFK15" s="260"/>
      <c r="SFL15" s="260"/>
      <c r="SFM15" s="260"/>
      <c r="SFN15" s="260"/>
      <c r="SFO15" s="260"/>
      <c r="SFP15" s="260"/>
      <c r="SFQ15" s="260"/>
      <c r="SFR15" s="260"/>
      <c r="SFS15" s="260"/>
      <c r="SFT15" s="260"/>
      <c r="SFU15" s="260"/>
      <c r="SFV15" s="260"/>
      <c r="SFW15" s="260"/>
      <c r="SFX15" s="260"/>
      <c r="SFY15" s="260"/>
      <c r="SFZ15" s="260"/>
      <c r="SGA15" s="260"/>
      <c r="SGB15" s="260"/>
      <c r="SGC15" s="260"/>
      <c r="SGD15" s="260"/>
      <c r="SGE15" s="260"/>
      <c r="SGF15" s="260"/>
      <c r="SGG15" s="260"/>
      <c r="SGH15" s="260"/>
      <c r="SGI15" s="260"/>
      <c r="SGJ15" s="260"/>
      <c r="SGK15" s="260"/>
      <c r="SGL15" s="260"/>
      <c r="SGM15" s="260"/>
      <c r="SGN15" s="260"/>
      <c r="SGO15" s="260"/>
      <c r="SGP15" s="260"/>
      <c r="SGQ15" s="260"/>
      <c r="SGR15" s="260"/>
      <c r="SGS15" s="260"/>
      <c r="SGT15" s="260"/>
      <c r="SGU15" s="260"/>
      <c r="SGV15" s="260"/>
      <c r="SGW15" s="260"/>
      <c r="SGX15" s="260"/>
      <c r="SGY15" s="260"/>
      <c r="SGZ15" s="260"/>
      <c r="SHA15" s="260"/>
      <c r="SHB15" s="260"/>
      <c r="SHC15" s="260"/>
      <c r="SHD15" s="260"/>
      <c r="SHE15" s="260"/>
      <c r="SHF15" s="260"/>
      <c r="SHG15" s="260"/>
      <c r="SHH15" s="260"/>
      <c r="SHI15" s="260"/>
      <c r="SHJ15" s="260"/>
      <c r="SHK15" s="260"/>
      <c r="SHL15" s="260"/>
      <c r="SHM15" s="260"/>
      <c r="SHN15" s="260"/>
      <c r="SHO15" s="260"/>
      <c r="SHP15" s="260"/>
      <c r="SHQ15" s="260"/>
      <c r="SHR15" s="260"/>
      <c r="SHS15" s="260"/>
      <c r="SHT15" s="260"/>
      <c r="SHU15" s="260"/>
      <c r="SHV15" s="260"/>
      <c r="SHW15" s="260"/>
      <c r="SHX15" s="260"/>
      <c r="SHY15" s="260"/>
      <c r="SHZ15" s="260"/>
      <c r="SIA15" s="260"/>
      <c r="SIB15" s="260"/>
      <c r="SIC15" s="260"/>
      <c r="SID15" s="260"/>
      <c r="SIE15" s="260"/>
      <c r="SIF15" s="260"/>
      <c r="SIG15" s="260"/>
      <c r="SIH15" s="260"/>
      <c r="SII15" s="260"/>
      <c r="SIJ15" s="260"/>
      <c r="SIK15" s="260"/>
      <c r="SIL15" s="260"/>
      <c r="SIM15" s="260"/>
      <c r="SIN15" s="260"/>
      <c r="SIO15" s="260"/>
      <c r="SIP15" s="260"/>
      <c r="SIQ15" s="260"/>
      <c r="SIR15" s="260"/>
      <c r="SIS15" s="260"/>
      <c r="SIT15" s="260"/>
      <c r="SIU15" s="260"/>
      <c r="SIV15" s="260"/>
      <c r="SIW15" s="260"/>
      <c r="SIX15" s="260"/>
      <c r="SIY15" s="260"/>
      <c r="SIZ15" s="260"/>
      <c r="SJA15" s="260"/>
      <c r="SJB15" s="260"/>
      <c r="SJC15" s="260"/>
      <c r="SJD15" s="260"/>
      <c r="SJE15" s="260"/>
      <c r="SJF15" s="260"/>
      <c r="SJG15" s="260"/>
      <c r="SJH15" s="260"/>
      <c r="SJI15" s="260"/>
      <c r="SJJ15" s="260"/>
      <c r="SJK15" s="260"/>
      <c r="SJL15" s="260"/>
      <c r="SJM15" s="260"/>
      <c r="SJN15" s="260"/>
      <c r="SJO15" s="260"/>
      <c r="SJP15" s="260"/>
      <c r="SJQ15" s="260"/>
      <c r="SJR15" s="260"/>
      <c r="SJS15" s="260"/>
      <c r="SJT15" s="260"/>
      <c r="SJU15" s="260"/>
      <c r="SJV15" s="260"/>
      <c r="SJW15" s="260"/>
      <c r="SJX15" s="260"/>
      <c r="SJY15" s="260"/>
      <c r="SJZ15" s="260"/>
      <c r="SKA15" s="260"/>
      <c r="SKB15" s="260"/>
      <c r="SKC15" s="260"/>
      <c r="SKD15" s="260"/>
      <c r="SKE15" s="260"/>
      <c r="SKF15" s="260"/>
      <c r="SKG15" s="260"/>
      <c r="SKH15" s="260"/>
      <c r="SKI15" s="260"/>
      <c r="SKJ15" s="260"/>
      <c r="SKK15" s="260"/>
      <c r="SKL15" s="260"/>
      <c r="SKM15" s="260"/>
      <c r="SKN15" s="260"/>
      <c r="SKO15" s="260"/>
      <c r="SKP15" s="260"/>
      <c r="SKQ15" s="260"/>
      <c r="SKR15" s="260"/>
      <c r="SKS15" s="260"/>
      <c r="SKT15" s="260"/>
      <c r="SKU15" s="260"/>
      <c r="SKV15" s="260"/>
      <c r="SKW15" s="260"/>
      <c r="SKX15" s="260"/>
      <c r="SKY15" s="260"/>
      <c r="SKZ15" s="260"/>
      <c r="SLA15" s="260"/>
      <c r="SLB15" s="260"/>
      <c r="SLC15" s="260"/>
      <c r="SLD15" s="260"/>
      <c r="SLE15" s="260"/>
      <c r="SLF15" s="260"/>
      <c r="SLG15" s="260"/>
      <c r="SLH15" s="260"/>
      <c r="SLI15" s="260"/>
      <c r="SLJ15" s="260"/>
      <c r="SLK15" s="260"/>
      <c r="SLL15" s="260"/>
      <c r="SLM15" s="260"/>
      <c r="SLN15" s="260"/>
      <c r="SLO15" s="260"/>
      <c r="SLP15" s="260"/>
      <c r="SLQ15" s="260"/>
      <c r="SLR15" s="260"/>
      <c r="SLS15" s="260"/>
      <c r="SLT15" s="260"/>
      <c r="SLU15" s="260"/>
      <c r="SLV15" s="260"/>
      <c r="SLW15" s="260"/>
      <c r="SLX15" s="260"/>
      <c r="SLY15" s="260"/>
      <c r="SLZ15" s="260"/>
      <c r="SMA15" s="260"/>
      <c r="SMB15" s="260"/>
      <c r="SMC15" s="260"/>
      <c r="SMD15" s="260"/>
      <c r="SME15" s="260"/>
      <c r="SMF15" s="260"/>
      <c r="SMG15" s="260"/>
      <c r="SMH15" s="260"/>
      <c r="SMI15" s="260"/>
      <c r="SMJ15" s="260"/>
      <c r="SMK15" s="260"/>
      <c r="SML15" s="260"/>
      <c r="SMM15" s="260"/>
      <c r="SMN15" s="260"/>
      <c r="SMO15" s="260"/>
      <c r="SMP15" s="260"/>
      <c r="SMQ15" s="260"/>
      <c r="SMR15" s="260"/>
      <c r="SMS15" s="260"/>
      <c r="SMT15" s="260"/>
      <c r="SMU15" s="260"/>
      <c r="SMV15" s="260"/>
      <c r="SMW15" s="260"/>
      <c r="SMX15" s="260"/>
      <c r="SMY15" s="260"/>
      <c r="SMZ15" s="260"/>
      <c r="SNA15" s="260"/>
      <c r="SNB15" s="260"/>
      <c r="SNC15" s="260"/>
      <c r="SND15" s="260"/>
      <c r="SNE15" s="260"/>
      <c r="SNF15" s="260"/>
      <c r="SNG15" s="260"/>
      <c r="SNH15" s="260"/>
      <c r="SNI15" s="260"/>
      <c r="SNJ15" s="260"/>
      <c r="SNK15" s="260"/>
      <c r="SNL15" s="260"/>
      <c r="SNM15" s="260"/>
      <c r="SNN15" s="260"/>
      <c r="SNO15" s="260"/>
      <c r="SNP15" s="260"/>
      <c r="SNQ15" s="260"/>
      <c r="SNR15" s="260"/>
      <c r="SNS15" s="260"/>
      <c r="SNT15" s="260"/>
      <c r="SNU15" s="260"/>
      <c r="SNV15" s="260"/>
      <c r="SNW15" s="260"/>
      <c r="SNX15" s="260"/>
      <c r="SNY15" s="260"/>
      <c r="SNZ15" s="260"/>
      <c r="SOA15" s="260"/>
      <c r="SOB15" s="260"/>
      <c r="SOC15" s="260"/>
      <c r="SOD15" s="260"/>
      <c r="SOE15" s="260"/>
      <c r="SOF15" s="260"/>
      <c r="SOG15" s="260"/>
      <c r="SOH15" s="260"/>
      <c r="SOI15" s="260"/>
      <c r="SOJ15" s="260"/>
      <c r="SOK15" s="260"/>
      <c r="SOL15" s="260"/>
      <c r="SOM15" s="260"/>
      <c r="SON15" s="260"/>
      <c r="SOO15" s="260"/>
      <c r="SOP15" s="260"/>
      <c r="SOQ15" s="260"/>
      <c r="SOR15" s="260"/>
      <c r="SOS15" s="260"/>
      <c r="SOT15" s="260"/>
      <c r="SOU15" s="260"/>
      <c r="SOV15" s="260"/>
      <c r="SOW15" s="260"/>
      <c r="SOX15" s="260"/>
      <c r="SOY15" s="260"/>
      <c r="SOZ15" s="260"/>
      <c r="SPA15" s="260"/>
      <c r="SPB15" s="260"/>
      <c r="SPC15" s="260"/>
      <c r="SPD15" s="260"/>
      <c r="SPE15" s="260"/>
      <c r="SPF15" s="260"/>
      <c r="SPG15" s="260"/>
      <c r="SPH15" s="260"/>
      <c r="SPI15" s="260"/>
      <c r="SPJ15" s="260"/>
      <c r="SPK15" s="260"/>
      <c r="SPL15" s="260"/>
      <c r="SPM15" s="260"/>
      <c r="SPN15" s="260"/>
      <c r="SPO15" s="260"/>
      <c r="SPP15" s="260"/>
      <c r="SPQ15" s="260"/>
      <c r="SPR15" s="260"/>
      <c r="SPS15" s="260"/>
      <c r="SPT15" s="260"/>
      <c r="SPU15" s="260"/>
      <c r="SPV15" s="260"/>
      <c r="SPW15" s="260"/>
      <c r="SPX15" s="260"/>
      <c r="SPY15" s="260"/>
      <c r="SPZ15" s="260"/>
      <c r="SQA15" s="260"/>
      <c r="SQB15" s="260"/>
      <c r="SQC15" s="260"/>
      <c r="SQD15" s="260"/>
      <c r="SQE15" s="260"/>
      <c r="SQF15" s="260"/>
      <c r="SQG15" s="260"/>
      <c r="SQH15" s="260"/>
      <c r="SQI15" s="260"/>
      <c r="SQJ15" s="260"/>
      <c r="SQK15" s="260"/>
      <c r="SQL15" s="260"/>
      <c r="SQM15" s="260"/>
      <c r="SQN15" s="260"/>
      <c r="SQO15" s="260"/>
      <c r="SQP15" s="260"/>
      <c r="SQQ15" s="260"/>
      <c r="SQR15" s="260"/>
      <c r="SQS15" s="260"/>
      <c r="SQT15" s="260"/>
      <c r="SQU15" s="260"/>
      <c r="SQV15" s="260"/>
      <c r="SQW15" s="260"/>
      <c r="SQX15" s="260"/>
      <c r="SQY15" s="260"/>
      <c r="SQZ15" s="260"/>
      <c r="SRA15" s="260"/>
      <c r="SRB15" s="260"/>
      <c r="SRC15" s="260"/>
      <c r="SRD15" s="260"/>
      <c r="SRE15" s="260"/>
      <c r="SRF15" s="260"/>
      <c r="SRG15" s="260"/>
      <c r="SRH15" s="260"/>
      <c r="SRI15" s="260"/>
      <c r="SRJ15" s="260"/>
      <c r="SRK15" s="260"/>
      <c r="SRL15" s="260"/>
      <c r="SRM15" s="260"/>
      <c r="SRN15" s="260"/>
      <c r="SRO15" s="260"/>
      <c r="SRP15" s="260"/>
      <c r="SRQ15" s="260"/>
      <c r="SRR15" s="260"/>
      <c r="SRS15" s="260"/>
      <c r="SRT15" s="260"/>
      <c r="SRU15" s="260"/>
      <c r="SRV15" s="260"/>
      <c r="SRW15" s="260"/>
      <c r="SRX15" s="260"/>
      <c r="SRY15" s="260"/>
      <c r="SRZ15" s="260"/>
      <c r="SSA15" s="260"/>
      <c r="SSB15" s="260"/>
      <c r="SSC15" s="260"/>
      <c r="SSD15" s="260"/>
      <c r="SSE15" s="260"/>
      <c r="SSF15" s="260"/>
      <c r="SSG15" s="260"/>
      <c r="SSH15" s="260"/>
      <c r="SSI15" s="260"/>
      <c r="SSJ15" s="260"/>
      <c r="SSK15" s="260"/>
      <c r="SSL15" s="260"/>
      <c r="SSM15" s="260"/>
      <c r="SSN15" s="260"/>
      <c r="SSO15" s="260"/>
      <c r="SSP15" s="260"/>
      <c r="SSQ15" s="260"/>
      <c r="SSR15" s="260"/>
      <c r="SSS15" s="260"/>
      <c r="SST15" s="260"/>
      <c r="SSU15" s="260"/>
      <c r="SSV15" s="260"/>
      <c r="SSW15" s="260"/>
      <c r="SSX15" s="260"/>
      <c r="SSY15" s="260"/>
      <c r="SSZ15" s="260"/>
      <c r="STA15" s="260"/>
      <c r="STB15" s="260"/>
      <c r="STC15" s="260"/>
      <c r="STD15" s="260"/>
      <c r="STE15" s="260"/>
      <c r="STF15" s="260"/>
      <c r="STG15" s="260"/>
      <c r="STH15" s="260"/>
      <c r="STI15" s="260"/>
      <c r="STJ15" s="260"/>
      <c r="STK15" s="260"/>
      <c r="STL15" s="260"/>
      <c r="STM15" s="260"/>
      <c r="STN15" s="260"/>
      <c r="STO15" s="260"/>
      <c r="STP15" s="260"/>
      <c r="STQ15" s="260"/>
      <c r="STR15" s="260"/>
      <c r="STS15" s="260"/>
      <c r="STT15" s="260"/>
      <c r="STU15" s="260"/>
      <c r="STV15" s="260"/>
      <c r="STW15" s="260"/>
      <c r="STX15" s="260"/>
      <c r="STY15" s="260"/>
      <c r="STZ15" s="260"/>
      <c r="SUA15" s="260"/>
      <c r="SUB15" s="260"/>
      <c r="SUC15" s="260"/>
      <c r="SUD15" s="260"/>
      <c r="SUE15" s="260"/>
      <c r="SUF15" s="260"/>
      <c r="SUG15" s="260"/>
      <c r="SUH15" s="260"/>
      <c r="SUI15" s="260"/>
      <c r="SUJ15" s="260"/>
      <c r="SUK15" s="260"/>
      <c r="SUL15" s="260"/>
      <c r="SUM15" s="260"/>
      <c r="SUN15" s="260"/>
      <c r="SUO15" s="260"/>
      <c r="SUP15" s="260"/>
      <c r="SUQ15" s="260"/>
      <c r="SUR15" s="260"/>
      <c r="SUS15" s="260"/>
      <c r="SUT15" s="260"/>
      <c r="SUU15" s="260"/>
      <c r="SUV15" s="260"/>
      <c r="SUW15" s="260"/>
      <c r="SUX15" s="260"/>
      <c r="SUY15" s="260"/>
      <c r="SUZ15" s="260"/>
      <c r="SVA15" s="260"/>
      <c r="SVB15" s="260"/>
      <c r="SVC15" s="260"/>
      <c r="SVD15" s="260"/>
      <c r="SVE15" s="260"/>
      <c r="SVF15" s="260"/>
      <c r="SVG15" s="260"/>
      <c r="SVH15" s="260"/>
      <c r="SVI15" s="260"/>
      <c r="SVJ15" s="260"/>
      <c r="SVK15" s="260"/>
      <c r="SVL15" s="260"/>
      <c r="SVM15" s="260"/>
      <c r="SVN15" s="260"/>
      <c r="SVO15" s="260"/>
      <c r="SVP15" s="260"/>
      <c r="SVQ15" s="260"/>
      <c r="SVR15" s="260"/>
      <c r="SVS15" s="260"/>
      <c r="SVT15" s="260"/>
      <c r="SVU15" s="260"/>
      <c r="SVV15" s="260"/>
      <c r="SVW15" s="260"/>
      <c r="SVX15" s="260"/>
      <c r="SVY15" s="260"/>
      <c r="SVZ15" s="260"/>
      <c r="SWA15" s="260"/>
      <c r="SWB15" s="260"/>
      <c r="SWC15" s="260"/>
      <c r="SWD15" s="260"/>
      <c r="SWE15" s="260"/>
      <c r="SWF15" s="260"/>
      <c r="SWG15" s="260"/>
      <c r="SWH15" s="260"/>
      <c r="SWI15" s="260"/>
      <c r="SWJ15" s="260"/>
      <c r="SWK15" s="260"/>
      <c r="SWL15" s="260"/>
      <c r="SWM15" s="260"/>
      <c r="SWN15" s="260"/>
      <c r="SWO15" s="260"/>
      <c r="SWP15" s="260"/>
      <c r="SWQ15" s="260"/>
      <c r="SWR15" s="260"/>
      <c r="SWS15" s="260"/>
      <c r="SWT15" s="260"/>
      <c r="SWU15" s="260"/>
      <c r="SWV15" s="260"/>
      <c r="SWW15" s="260"/>
      <c r="SWX15" s="260"/>
      <c r="SWY15" s="260"/>
      <c r="SWZ15" s="260"/>
      <c r="SXA15" s="260"/>
      <c r="SXB15" s="260"/>
      <c r="SXC15" s="260"/>
      <c r="SXD15" s="260"/>
      <c r="SXE15" s="260"/>
      <c r="SXF15" s="260"/>
      <c r="SXG15" s="260"/>
      <c r="SXH15" s="260"/>
      <c r="SXI15" s="260"/>
      <c r="SXJ15" s="260"/>
      <c r="SXK15" s="260"/>
      <c r="SXL15" s="260"/>
      <c r="SXM15" s="260"/>
      <c r="SXN15" s="260"/>
      <c r="SXO15" s="260"/>
      <c r="SXP15" s="260"/>
      <c r="SXQ15" s="260"/>
      <c r="SXR15" s="260"/>
      <c r="SXS15" s="260"/>
      <c r="SXT15" s="260"/>
      <c r="SXU15" s="260"/>
      <c r="SXV15" s="260"/>
      <c r="SXW15" s="260"/>
      <c r="SXX15" s="260"/>
      <c r="SXY15" s="260"/>
      <c r="SXZ15" s="260"/>
      <c r="SYA15" s="260"/>
      <c r="SYB15" s="260"/>
      <c r="SYC15" s="260"/>
      <c r="SYD15" s="260"/>
      <c r="SYE15" s="260"/>
      <c r="SYF15" s="260"/>
      <c r="SYG15" s="260"/>
      <c r="SYH15" s="260"/>
      <c r="SYI15" s="260"/>
      <c r="SYJ15" s="260"/>
      <c r="SYK15" s="260"/>
      <c r="SYL15" s="260"/>
      <c r="SYM15" s="260"/>
      <c r="SYN15" s="260"/>
      <c r="SYO15" s="260"/>
      <c r="SYP15" s="260"/>
      <c r="SYQ15" s="260"/>
      <c r="SYR15" s="260"/>
      <c r="SYS15" s="260"/>
      <c r="SYT15" s="260"/>
      <c r="SYU15" s="260"/>
      <c r="SYV15" s="260"/>
      <c r="SYW15" s="260"/>
      <c r="SYX15" s="260"/>
      <c r="SYY15" s="260"/>
      <c r="SYZ15" s="260"/>
      <c r="SZA15" s="260"/>
      <c r="SZB15" s="260"/>
      <c r="SZC15" s="260"/>
      <c r="SZD15" s="260"/>
      <c r="SZE15" s="260"/>
      <c r="SZF15" s="260"/>
      <c r="SZG15" s="260"/>
      <c r="SZH15" s="260"/>
      <c r="SZI15" s="260"/>
      <c r="SZJ15" s="260"/>
      <c r="SZK15" s="260"/>
      <c r="SZL15" s="260"/>
      <c r="SZM15" s="260"/>
      <c r="SZN15" s="260"/>
      <c r="SZO15" s="260"/>
      <c r="SZP15" s="260"/>
      <c r="SZQ15" s="260"/>
      <c r="SZR15" s="260"/>
      <c r="SZS15" s="260"/>
      <c r="SZT15" s="260"/>
      <c r="SZU15" s="260"/>
      <c r="SZV15" s="260"/>
      <c r="SZW15" s="260"/>
      <c r="SZX15" s="260"/>
      <c r="SZY15" s="260"/>
      <c r="SZZ15" s="260"/>
      <c r="TAA15" s="260"/>
      <c r="TAB15" s="260"/>
      <c r="TAC15" s="260"/>
      <c r="TAD15" s="260"/>
      <c r="TAE15" s="260"/>
      <c r="TAF15" s="260"/>
      <c r="TAG15" s="260"/>
      <c r="TAH15" s="260"/>
      <c r="TAI15" s="260"/>
      <c r="TAJ15" s="260"/>
      <c r="TAK15" s="260"/>
      <c r="TAL15" s="260"/>
      <c r="TAM15" s="260"/>
      <c r="TAN15" s="260"/>
      <c r="TAO15" s="260"/>
      <c r="TAP15" s="260"/>
      <c r="TAQ15" s="260"/>
      <c r="TAR15" s="260"/>
      <c r="TAS15" s="260"/>
      <c r="TAT15" s="260"/>
      <c r="TAU15" s="260"/>
      <c r="TAV15" s="260"/>
      <c r="TAW15" s="260"/>
      <c r="TAX15" s="260"/>
      <c r="TAY15" s="260"/>
      <c r="TAZ15" s="260"/>
      <c r="TBA15" s="260"/>
      <c r="TBB15" s="260"/>
      <c r="TBC15" s="260"/>
      <c r="TBD15" s="260"/>
      <c r="TBE15" s="260"/>
      <c r="TBF15" s="260"/>
      <c r="TBG15" s="260"/>
      <c r="TBH15" s="260"/>
      <c r="TBI15" s="260"/>
      <c r="TBJ15" s="260"/>
      <c r="TBK15" s="260"/>
      <c r="TBL15" s="260"/>
      <c r="TBM15" s="260"/>
      <c r="TBN15" s="260"/>
      <c r="TBO15" s="260"/>
      <c r="TBP15" s="260"/>
      <c r="TBQ15" s="260"/>
      <c r="TBR15" s="260"/>
      <c r="TBS15" s="260"/>
      <c r="TBT15" s="260"/>
      <c r="TBU15" s="260"/>
      <c r="TBV15" s="260"/>
      <c r="TBW15" s="260"/>
      <c r="TBX15" s="260"/>
      <c r="TBY15" s="260"/>
      <c r="TBZ15" s="260"/>
      <c r="TCA15" s="260"/>
      <c r="TCB15" s="260"/>
      <c r="TCC15" s="260"/>
      <c r="TCD15" s="260"/>
      <c r="TCE15" s="260"/>
      <c r="TCF15" s="260"/>
      <c r="TCG15" s="260"/>
      <c r="TCH15" s="260"/>
      <c r="TCI15" s="260"/>
      <c r="TCJ15" s="260"/>
      <c r="TCK15" s="260"/>
      <c r="TCL15" s="260"/>
      <c r="TCM15" s="260"/>
      <c r="TCN15" s="260"/>
      <c r="TCO15" s="260"/>
      <c r="TCP15" s="260"/>
      <c r="TCQ15" s="260"/>
      <c r="TCR15" s="260"/>
      <c r="TCS15" s="260"/>
      <c r="TCT15" s="260"/>
      <c r="TCU15" s="260"/>
      <c r="TCV15" s="260"/>
      <c r="TCW15" s="260"/>
      <c r="TCX15" s="260"/>
      <c r="TCY15" s="260"/>
      <c r="TCZ15" s="260"/>
      <c r="TDA15" s="260"/>
      <c r="TDB15" s="260"/>
      <c r="TDC15" s="260"/>
      <c r="TDD15" s="260"/>
      <c r="TDE15" s="260"/>
      <c r="TDF15" s="260"/>
      <c r="TDG15" s="260"/>
      <c r="TDH15" s="260"/>
      <c r="TDI15" s="260"/>
      <c r="TDJ15" s="260"/>
      <c r="TDK15" s="260"/>
      <c r="TDL15" s="260"/>
      <c r="TDM15" s="260"/>
      <c r="TDN15" s="260"/>
      <c r="TDO15" s="260"/>
      <c r="TDP15" s="260"/>
      <c r="TDQ15" s="260"/>
      <c r="TDR15" s="260"/>
      <c r="TDS15" s="260"/>
      <c r="TDT15" s="260"/>
      <c r="TDU15" s="260"/>
      <c r="TDV15" s="260"/>
      <c r="TDW15" s="260"/>
      <c r="TDX15" s="260"/>
      <c r="TDY15" s="260"/>
      <c r="TDZ15" s="260"/>
      <c r="TEA15" s="260"/>
      <c r="TEB15" s="260"/>
      <c r="TEC15" s="260"/>
      <c r="TED15" s="260"/>
      <c r="TEE15" s="260"/>
      <c r="TEF15" s="260"/>
      <c r="TEG15" s="260"/>
      <c r="TEH15" s="260"/>
      <c r="TEI15" s="260"/>
      <c r="TEJ15" s="260"/>
      <c r="TEK15" s="260"/>
      <c r="TEL15" s="260"/>
      <c r="TEM15" s="260"/>
      <c r="TEN15" s="260"/>
      <c r="TEO15" s="260"/>
      <c r="TEP15" s="260"/>
      <c r="TEQ15" s="260"/>
      <c r="TER15" s="260"/>
      <c r="TES15" s="260"/>
      <c r="TET15" s="260"/>
      <c r="TEU15" s="260"/>
      <c r="TEV15" s="260"/>
      <c r="TEW15" s="260"/>
      <c r="TEX15" s="260"/>
      <c r="TEY15" s="260"/>
      <c r="TEZ15" s="260"/>
      <c r="TFA15" s="260"/>
      <c r="TFB15" s="260"/>
      <c r="TFC15" s="260"/>
      <c r="TFD15" s="260"/>
      <c r="TFE15" s="260"/>
      <c r="TFF15" s="260"/>
      <c r="TFG15" s="260"/>
      <c r="TFH15" s="260"/>
      <c r="TFI15" s="260"/>
      <c r="TFJ15" s="260"/>
      <c r="TFK15" s="260"/>
      <c r="TFL15" s="260"/>
      <c r="TFM15" s="260"/>
      <c r="TFN15" s="260"/>
      <c r="TFO15" s="260"/>
      <c r="TFP15" s="260"/>
      <c r="TFQ15" s="260"/>
      <c r="TFR15" s="260"/>
      <c r="TFS15" s="260"/>
      <c r="TFT15" s="260"/>
      <c r="TFU15" s="260"/>
      <c r="TFV15" s="260"/>
      <c r="TFW15" s="260"/>
      <c r="TFX15" s="260"/>
      <c r="TFY15" s="260"/>
      <c r="TFZ15" s="260"/>
      <c r="TGA15" s="260"/>
      <c r="TGB15" s="260"/>
      <c r="TGC15" s="260"/>
      <c r="TGD15" s="260"/>
      <c r="TGE15" s="260"/>
      <c r="TGF15" s="260"/>
      <c r="TGG15" s="260"/>
      <c r="TGH15" s="260"/>
      <c r="TGI15" s="260"/>
      <c r="TGJ15" s="260"/>
      <c r="TGK15" s="260"/>
      <c r="TGL15" s="260"/>
      <c r="TGM15" s="260"/>
      <c r="TGN15" s="260"/>
      <c r="TGO15" s="260"/>
      <c r="TGP15" s="260"/>
      <c r="TGQ15" s="260"/>
      <c r="TGR15" s="260"/>
      <c r="TGS15" s="260"/>
      <c r="TGT15" s="260"/>
      <c r="TGU15" s="260"/>
      <c r="TGV15" s="260"/>
      <c r="TGW15" s="260"/>
      <c r="TGX15" s="260"/>
      <c r="TGY15" s="260"/>
      <c r="TGZ15" s="260"/>
      <c r="THA15" s="260"/>
      <c r="THB15" s="260"/>
      <c r="THC15" s="260"/>
      <c r="THD15" s="260"/>
      <c r="THE15" s="260"/>
      <c r="THF15" s="260"/>
      <c r="THG15" s="260"/>
      <c r="THH15" s="260"/>
      <c r="THI15" s="260"/>
      <c r="THJ15" s="260"/>
      <c r="THK15" s="260"/>
      <c r="THL15" s="260"/>
      <c r="THM15" s="260"/>
      <c r="THN15" s="260"/>
      <c r="THO15" s="260"/>
      <c r="THP15" s="260"/>
      <c r="THQ15" s="260"/>
      <c r="THR15" s="260"/>
      <c r="THS15" s="260"/>
      <c r="THT15" s="260"/>
      <c r="THU15" s="260"/>
      <c r="THV15" s="260"/>
      <c r="THW15" s="260"/>
      <c r="THX15" s="260"/>
      <c r="THY15" s="260"/>
      <c r="THZ15" s="260"/>
      <c r="TIA15" s="260"/>
      <c r="TIB15" s="260"/>
      <c r="TIC15" s="260"/>
      <c r="TID15" s="260"/>
      <c r="TIE15" s="260"/>
      <c r="TIF15" s="260"/>
      <c r="TIG15" s="260"/>
      <c r="TIH15" s="260"/>
      <c r="TII15" s="260"/>
      <c r="TIJ15" s="260"/>
      <c r="TIK15" s="260"/>
      <c r="TIL15" s="260"/>
      <c r="TIM15" s="260"/>
      <c r="TIN15" s="260"/>
      <c r="TIO15" s="260"/>
      <c r="TIP15" s="260"/>
      <c r="TIQ15" s="260"/>
      <c r="TIR15" s="260"/>
      <c r="TIS15" s="260"/>
      <c r="TIT15" s="260"/>
      <c r="TIU15" s="260"/>
      <c r="TIV15" s="260"/>
      <c r="TIW15" s="260"/>
      <c r="TIX15" s="260"/>
      <c r="TIY15" s="260"/>
      <c r="TIZ15" s="260"/>
      <c r="TJA15" s="260"/>
      <c r="TJB15" s="260"/>
      <c r="TJC15" s="260"/>
      <c r="TJD15" s="260"/>
      <c r="TJE15" s="260"/>
      <c r="TJF15" s="260"/>
      <c r="TJG15" s="260"/>
      <c r="TJH15" s="260"/>
      <c r="TJI15" s="260"/>
      <c r="TJJ15" s="260"/>
      <c r="TJK15" s="260"/>
      <c r="TJL15" s="260"/>
      <c r="TJM15" s="260"/>
      <c r="TJN15" s="260"/>
      <c r="TJO15" s="260"/>
      <c r="TJP15" s="260"/>
      <c r="TJQ15" s="260"/>
      <c r="TJR15" s="260"/>
      <c r="TJS15" s="260"/>
      <c r="TJT15" s="260"/>
      <c r="TJU15" s="260"/>
      <c r="TJV15" s="260"/>
      <c r="TJW15" s="260"/>
      <c r="TJX15" s="260"/>
      <c r="TJY15" s="260"/>
      <c r="TJZ15" s="260"/>
      <c r="TKA15" s="260"/>
      <c r="TKB15" s="260"/>
      <c r="TKC15" s="260"/>
      <c r="TKD15" s="260"/>
      <c r="TKE15" s="260"/>
      <c r="TKF15" s="260"/>
      <c r="TKG15" s="260"/>
      <c r="TKH15" s="260"/>
      <c r="TKI15" s="260"/>
      <c r="TKJ15" s="260"/>
      <c r="TKK15" s="260"/>
      <c r="TKL15" s="260"/>
      <c r="TKM15" s="260"/>
      <c r="TKN15" s="260"/>
      <c r="TKO15" s="260"/>
      <c r="TKP15" s="260"/>
      <c r="TKQ15" s="260"/>
      <c r="TKR15" s="260"/>
      <c r="TKS15" s="260"/>
      <c r="TKT15" s="260"/>
      <c r="TKU15" s="260"/>
      <c r="TKV15" s="260"/>
      <c r="TKW15" s="260"/>
      <c r="TKX15" s="260"/>
      <c r="TKY15" s="260"/>
      <c r="TKZ15" s="260"/>
      <c r="TLA15" s="260"/>
      <c r="TLB15" s="260"/>
      <c r="TLC15" s="260"/>
      <c r="TLD15" s="260"/>
      <c r="TLE15" s="260"/>
      <c r="TLF15" s="260"/>
      <c r="TLG15" s="260"/>
      <c r="TLH15" s="260"/>
      <c r="TLI15" s="260"/>
      <c r="TLJ15" s="260"/>
      <c r="TLK15" s="260"/>
      <c r="TLL15" s="260"/>
      <c r="TLM15" s="260"/>
      <c r="TLN15" s="260"/>
      <c r="TLO15" s="260"/>
      <c r="TLP15" s="260"/>
      <c r="TLQ15" s="260"/>
      <c r="TLR15" s="260"/>
      <c r="TLS15" s="260"/>
      <c r="TLT15" s="260"/>
      <c r="TLU15" s="260"/>
      <c r="TLV15" s="260"/>
      <c r="TLW15" s="260"/>
      <c r="TLX15" s="260"/>
      <c r="TLY15" s="260"/>
      <c r="TLZ15" s="260"/>
      <c r="TMA15" s="260"/>
      <c r="TMB15" s="260"/>
      <c r="TMC15" s="260"/>
      <c r="TMD15" s="260"/>
      <c r="TME15" s="260"/>
      <c r="TMF15" s="260"/>
      <c r="TMG15" s="260"/>
      <c r="TMH15" s="260"/>
      <c r="TMI15" s="260"/>
      <c r="TMJ15" s="260"/>
      <c r="TMK15" s="260"/>
      <c r="TML15" s="260"/>
      <c r="TMM15" s="260"/>
      <c r="TMN15" s="260"/>
      <c r="TMO15" s="260"/>
      <c r="TMP15" s="260"/>
      <c r="TMQ15" s="260"/>
      <c r="TMR15" s="260"/>
      <c r="TMS15" s="260"/>
      <c r="TMT15" s="260"/>
      <c r="TMU15" s="260"/>
      <c r="TMV15" s="260"/>
      <c r="TMW15" s="260"/>
      <c r="TMX15" s="260"/>
      <c r="TMY15" s="260"/>
      <c r="TMZ15" s="260"/>
      <c r="TNA15" s="260"/>
      <c r="TNB15" s="260"/>
      <c r="TNC15" s="260"/>
      <c r="TND15" s="260"/>
      <c r="TNE15" s="260"/>
      <c r="TNF15" s="260"/>
      <c r="TNG15" s="260"/>
      <c r="TNH15" s="260"/>
      <c r="TNI15" s="260"/>
      <c r="TNJ15" s="260"/>
      <c r="TNK15" s="260"/>
      <c r="TNL15" s="260"/>
      <c r="TNM15" s="260"/>
      <c r="TNN15" s="260"/>
      <c r="TNO15" s="260"/>
      <c r="TNP15" s="260"/>
      <c r="TNQ15" s="260"/>
      <c r="TNR15" s="260"/>
      <c r="TNS15" s="260"/>
      <c r="TNT15" s="260"/>
      <c r="TNU15" s="260"/>
      <c r="TNV15" s="260"/>
      <c r="TNW15" s="260"/>
      <c r="TNX15" s="260"/>
      <c r="TNY15" s="260"/>
      <c r="TNZ15" s="260"/>
      <c r="TOA15" s="260"/>
      <c r="TOB15" s="260"/>
      <c r="TOC15" s="260"/>
      <c r="TOD15" s="260"/>
      <c r="TOE15" s="260"/>
      <c r="TOF15" s="260"/>
      <c r="TOG15" s="260"/>
      <c r="TOH15" s="260"/>
      <c r="TOI15" s="260"/>
      <c r="TOJ15" s="260"/>
      <c r="TOK15" s="260"/>
      <c r="TOL15" s="260"/>
      <c r="TOM15" s="260"/>
      <c r="TON15" s="260"/>
      <c r="TOO15" s="260"/>
      <c r="TOP15" s="260"/>
      <c r="TOQ15" s="260"/>
      <c r="TOR15" s="260"/>
      <c r="TOS15" s="260"/>
      <c r="TOT15" s="260"/>
      <c r="TOU15" s="260"/>
      <c r="TOV15" s="260"/>
      <c r="TOW15" s="260"/>
      <c r="TOX15" s="260"/>
      <c r="TOY15" s="260"/>
      <c r="TOZ15" s="260"/>
      <c r="TPA15" s="260"/>
      <c r="TPB15" s="260"/>
      <c r="TPC15" s="260"/>
      <c r="TPD15" s="260"/>
      <c r="TPE15" s="260"/>
      <c r="TPF15" s="260"/>
      <c r="TPG15" s="260"/>
      <c r="TPH15" s="260"/>
      <c r="TPI15" s="260"/>
      <c r="TPJ15" s="260"/>
      <c r="TPK15" s="260"/>
      <c r="TPL15" s="260"/>
      <c r="TPM15" s="260"/>
      <c r="TPN15" s="260"/>
      <c r="TPO15" s="260"/>
      <c r="TPP15" s="260"/>
      <c r="TPQ15" s="260"/>
      <c r="TPR15" s="260"/>
      <c r="TPS15" s="260"/>
      <c r="TPT15" s="260"/>
      <c r="TPU15" s="260"/>
      <c r="TPV15" s="260"/>
      <c r="TPW15" s="260"/>
      <c r="TPX15" s="260"/>
      <c r="TPY15" s="260"/>
      <c r="TPZ15" s="260"/>
      <c r="TQA15" s="260"/>
      <c r="TQB15" s="260"/>
      <c r="TQC15" s="260"/>
      <c r="TQD15" s="260"/>
      <c r="TQE15" s="260"/>
      <c r="TQF15" s="260"/>
      <c r="TQG15" s="260"/>
      <c r="TQH15" s="260"/>
      <c r="TQI15" s="260"/>
      <c r="TQJ15" s="260"/>
      <c r="TQK15" s="260"/>
      <c r="TQL15" s="260"/>
      <c r="TQM15" s="260"/>
      <c r="TQN15" s="260"/>
      <c r="TQO15" s="260"/>
      <c r="TQP15" s="260"/>
      <c r="TQQ15" s="260"/>
      <c r="TQR15" s="260"/>
      <c r="TQS15" s="260"/>
      <c r="TQT15" s="260"/>
      <c r="TQU15" s="260"/>
      <c r="TQV15" s="260"/>
      <c r="TQW15" s="260"/>
      <c r="TQX15" s="260"/>
      <c r="TQY15" s="260"/>
      <c r="TQZ15" s="260"/>
      <c r="TRA15" s="260"/>
      <c r="TRB15" s="260"/>
      <c r="TRC15" s="260"/>
      <c r="TRD15" s="260"/>
      <c r="TRE15" s="260"/>
      <c r="TRF15" s="260"/>
      <c r="TRG15" s="260"/>
      <c r="TRH15" s="260"/>
      <c r="TRI15" s="260"/>
      <c r="TRJ15" s="260"/>
      <c r="TRK15" s="260"/>
      <c r="TRL15" s="260"/>
      <c r="TRM15" s="260"/>
      <c r="TRN15" s="260"/>
      <c r="TRO15" s="260"/>
      <c r="TRP15" s="260"/>
      <c r="TRQ15" s="260"/>
      <c r="TRR15" s="260"/>
      <c r="TRS15" s="260"/>
      <c r="TRT15" s="260"/>
      <c r="TRU15" s="260"/>
      <c r="TRV15" s="260"/>
      <c r="TRW15" s="260"/>
      <c r="TRX15" s="260"/>
      <c r="TRY15" s="260"/>
      <c r="TRZ15" s="260"/>
      <c r="TSA15" s="260"/>
      <c r="TSB15" s="260"/>
      <c r="TSC15" s="260"/>
      <c r="TSD15" s="260"/>
      <c r="TSE15" s="260"/>
      <c r="TSF15" s="260"/>
      <c r="TSG15" s="260"/>
      <c r="TSH15" s="260"/>
      <c r="TSI15" s="260"/>
      <c r="TSJ15" s="260"/>
      <c r="TSK15" s="260"/>
      <c r="TSL15" s="260"/>
      <c r="TSM15" s="260"/>
      <c r="TSN15" s="260"/>
      <c r="TSO15" s="260"/>
      <c r="TSP15" s="260"/>
      <c r="TSQ15" s="260"/>
      <c r="TSR15" s="260"/>
      <c r="TSS15" s="260"/>
      <c r="TST15" s="260"/>
      <c r="TSU15" s="260"/>
      <c r="TSV15" s="260"/>
      <c r="TSW15" s="260"/>
      <c r="TSX15" s="260"/>
      <c r="TSY15" s="260"/>
      <c r="TSZ15" s="260"/>
      <c r="TTA15" s="260"/>
      <c r="TTB15" s="260"/>
      <c r="TTC15" s="260"/>
      <c r="TTD15" s="260"/>
      <c r="TTE15" s="260"/>
      <c r="TTF15" s="260"/>
      <c r="TTG15" s="260"/>
      <c r="TTH15" s="260"/>
      <c r="TTI15" s="260"/>
      <c r="TTJ15" s="260"/>
      <c r="TTK15" s="260"/>
      <c r="TTL15" s="260"/>
      <c r="TTM15" s="260"/>
      <c r="TTN15" s="260"/>
      <c r="TTO15" s="260"/>
      <c r="TTP15" s="260"/>
      <c r="TTQ15" s="260"/>
      <c r="TTR15" s="260"/>
      <c r="TTS15" s="260"/>
      <c r="TTT15" s="260"/>
      <c r="TTU15" s="260"/>
      <c r="TTV15" s="260"/>
      <c r="TTW15" s="260"/>
      <c r="TTX15" s="260"/>
      <c r="TTY15" s="260"/>
      <c r="TTZ15" s="260"/>
      <c r="TUA15" s="260"/>
      <c r="TUB15" s="260"/>
      <c r="TUC15" s="260"/>
      <c r="TUD15" s="260"/>
      <c r="TUE15" s="260"/>
      <c r="TUF15" s="260"/>
      <c r="TUG15" s="260"/>
      <c r="TUH15" s="260"/>
      <c r="TUI15" s="260"/>
      <c r="TUJ15" s="260"/>
      <c r="TUK15" s="260"/>
      <c r="TUL15" s="260"/>
      <c r="TUM15" s="260"/>
      <c r="TUN15" s="260"/>
      <c r="TUO15" s="260"/>
      <c r="TUP15" s="260"/>
      <c r="TUQ15" s="260"/>
      <c r="TUR15" s="260"/>
      <c r="TUS15" s="260"/>
      <c r="TUT15" s="260"/>
      <c r="TUU15" s="260"/>
      <c r="TUV15" s="260"/>
      <c r="TUW15" s="260"/>
      <c r="TUX15" s="260"/>
      <c r="TUY15" s="260"/>
      <c r="TUZ15" s="260"/>
      <c r="TVA15" s="260"/>
      <c r="TVB15" s="260"/>
      <c r="TVC15" s="260"/>
      <c r="TVD15" s="260"/>
      <c r="TVE15" s="260"/>
      <c r="TVF15" s="260"/>
      <c r="TVG15" s="260"/>
      <c r="TVH15" s="260"/>
      <c r="TVI15" s="260"/>
      <c r="TVJ15" s="260"/>
      <c r="TVK15" s="260"/>
      <c r="TVL15" s="260"/>
      <c r="TVM15" s="260"/>
      <c r="TVN15" s="260"/>
      <c r="TVO15" s="260"/>
      <c r="TVP15" s="260"/>
      <c r="TVQ15" s="260"/>
      <c r="TVR15" s="260"/>
      <c r="TVS15" s="260"/>
      <c r="TVT15" s="260"/>
      <c r="TVU15" s="260"/>
      <c r="TVV15" s="260"/>
      <c r="TVW15" s="260"/>
      <c r="TVX15" s="260"/>
      <c r="TVY15" s="260"/>
      <c r="TVZ15" s="260"/>
      <c r="TWA15" s="260"/>
      <c r="TWB15" s="260"/>
      <c r="TWC15" s="260"/>
      <c r="TWD15" s="260"/>
      <c r="TWE15" s="260"/>
      <c r="TWF15" s="260"/>
      <c r="TWG15" s="260"/>
      <c r="TWH15" s="260"/>
      <c r="TWI15" s="260"/>
      <c r="TWJ15" s="260"/>
      <c r="TWK15" s="260"/>
      <c r="TWL15" s="260"/>
      <c r="TWM15" s="260"/>
      <c r="TWN15" s="260"/>
      <c r="TWO15" s="260"/>
      <c r="TWP15" s="260"/>
      <c r="TWQ15" s="260"/>
      <c r="TWR15" s="260"/>
      <c r="TWS15" s="260"/>
      <c r="TWT15" s="260"/>
      <c r="TWU15" s="260"/>
      <c r="TWV15" s="260"/>
      <c r="TWW15" s="260"/>
      <c r="TWX15" s="260"/>
      <c r="TWY15" s="260"/>
      <c r="TWZ15" s="260"/>
      <c r="TXA15" s="260"/>
      <c r="TXB15" s="260"/>
      <c r="TXC15" s="260"/>
      <c r="TXD15" s="260"/>
      <c r="TXE15" s="260"/>
      <c r="TXF15" s="260"/>
      <c r="TXG15" s="260"/>
      <c r="TXH15" s="260"/>
      <c r="TXI15" s="260"/>
      <c r="TXJ15" s="260"/>
      <c r="TXK15" s="260"/>
      <c r="TXL15" s="260"/>
      <c r="TXM15" s="260"/>
      <c r="TXN15" s="260"/>
      <c r="TXO15" s="260"/>
      <c r="TXP15" s="260"/>
      <c r="TXQ15" s="260"/>
      <c r="TXR15" s="260"/>
      <c r="TXS15" s="260"/>
      <c r="TXT15" s="260"/>
      <c r="TXU15" s="260"/>
      <c r="TXV15" s="260"/>
      <c r="TXW15" s="260"/>
      <c r="TXX15" s="260"/>
      <c r="TXY15" s="260"/>
      <c r="TXZ15" s="260"/>
      <c r="TYA15" s="260"/>
      <c r="TYB15" s="260"/>
      <c r="TYC15" s="260"/>
      <c r="TYD15" s="260"/>
      <c r="TYE15" s="260"/>
      <c r="TYF15" s="260"/>
      <c r="TYG15" s="260"/>
      <c r="TYH15" s="260"/>
      <c r="TYI15" s="260"/>
      <c r="TYJ15" s="260"/>
      <c r="TYK15" s="260"/>
      <c r="TYL15" s="260"/>
      <c r="TYM15" s="260"/>
      <c r="TYN15" s="260"/>
      <c r="TYO15" s="260"/>
      <c r="TYP15" s="260"/>
      <c r="TYQ15" s="260"/>
      <c r="TYR15" s="260"/>
      <c r="TYS15" s="260"/>
      <c r="TYT15" s="260"/>
      <c r="TYU15" s="260"/>
      <c r="TYV15" s="260"/>
      <c r="TYW15" s="260"/>
      <c r="TYX15" s="260"/>
      <c r="TYY15" s="260"/>
      <c r="TYZ15" s="260"/>
      <c r="TZA15" s="260"/>
      <c r="TZB15" s="260"/>
      <c r="TZC15" s="260"/>
      <c r="TZD15" s="260"/>
      <c r="TZE15" s="260"/>
      <c r="TZF15" s="260"/>
      <c r="TZG15" s="260"/>
      <c r="TZH15" s="260"/>
      <c r="TZI15" s="260"/>
      <c r="TZJ15" s="260"/>
      <c r="TZK15" s="260"/>
      <c r="TZL15" s="260"/>
      <c r="TZM15" s="260"/>
      <c r="TZN15" s="260"/>
      <c r="TZO15" s="260"/>
      <c r="TZP15" s="260"/>
      <c r="TZQ15" s="260"/>
      <c r="TZR15" s="260"/>
      <c r="TZS15" s="260"/>
      <c r="TZT15" s="260"/>
      <c r="TZU15" s="260"/>
      <c r="TZV15" s="260"/>
      <c r="TZW15" s="260"/>
      <c r="TZX15" s="260"/>
      <c r="TZY15" s="260"/>
      <c r="TZZ15" s="260"/>
      <c r="UAA15" s="260"/>
      <c r="UAB15" s="260"/>
      <c r="UAC15" s="260"/>
      <c r="UAD15" s="260"/>
      <c r="UAE15" s="260"/>
      <c r="UAF15" s="260"/>
      <c r="UAG15" s="260"/>
      <c r="UAH15" s="260"/>
      <c r="UAI15" s="260"/>
      <c r="UAJ15" s="260"/>
      <c r="UAK15" s="260"/>
      <c r="UAL15" s="260"/>
      <c r="UAM15" s="260"/>
      <c r="UAN15" s="260"/>
      <c r="UAO15" s="260"/>
      <c r="UAP15" s="260"/>
      <c r="UAQ15" s="260"/>
      <c r="UAR15" s="260"/>
      <c r="UAS15" s="260"/>
      <c r="UAT15" s="260"/>
      <c r="UAU15" s="260"/>
      <c r="UAV15" s="260"/>
      <c r="UAW15" s="260"/>
      <c r="UAX15" s="260"/>
      <c r="UAY15" s="260"/>
      <c r="UAZ15" s="260"/>
      <c r="UBA15" s="260"/>
      <c r="UBB15" s="260"/>
      <c r="UBC15" s="260"/>
      <c r="UBD15" s="260"/>
      <c r="UBE15" s="260"/>
      <c r="UBF15" s="260"/>
      <c r="UBG15" s="260"/>
      <c r="UBH15" s="260"/>
      <c r="UBI15" s="260"/>
      <c r="UBJ15" s="260"/>
      <c r="UBK15" s="260"/>
      <c r="UBL15" s="260"/>
      <c r="UBM15" s="260"/>
      <c r="UBN15" s="260"/>
      <c r="UBO15" s="260"/>
      <c r="UBP15" s="260"/>
      <c r="UBQ15" s="260"/>
      <c r="UBR15" s="260"/>
      <c r="UBS15" s="260"/>
      <c r="UBT15" s="260"/>
      <c r="UBU15" s="260"/>
      <c r="UBV15" s="260"/>
      <c r="UBW15" s="260"/>
      <c r="UBX15" s="260"/>
      <c r="UBY15" s="260"/>
      <c r="UBZ15" s="260"/>
      <c r="UCA15" s="260"/>
      <c r="UCB15" s="260"/>
      <c r="UCC15" s="260"/>
      <c r="UCD15" s="260"/>
      <c r="UCE15" s="260"/>
      <c r="UCF15" s="260"/>
      <c r="UCG15" s="260"/>
      <c r="UCH15" s="260"/>
      <c r="UCI15" s="260"/>
      <c r="UCJ15" s="260"/>
      <c r="UCK15" s="260"/>
      <c r="UCL15" s="260"/>
      <c r="UCM15" s="260"/>
      <c r="UCN15" s="260"/>
      <c r="UCO15" s="260"/>
      <c r="UCP15" s="260"/>
      <c r="UCQ15" s="260"/>
      <c r="UCR15" s="260"/>
      <c r="UCS15" s="260"/>
      <c r="UCT15" s="260"/>
      <c r="UCU15" s="260"/>
      <c r="UCV15" s="260"/>
      <c r="UCW15" s="260"/>
      <c r="UCX15" s="260"/>
      <c r="UCY15" s="260"/>
      <c r="UCZ15" s="260"/>
      <c r="UDA15" s="260"/>
      <c r="UDB15" s="260"/>
      <c r="UDC15" s="260"/>
      <c r="UDD15" s="260"/>
      <c r="UDE15" s="260"/>
      <c r="UDF15" s="260"/>
      <c r="UDG15" s="260"/>
      <c r="UDH15" s="260"/>
      <c r="UDI15" s="260"/>
      <c r="UDJ15" s="260"/>
      <c r="UDK15" s="260"/>
      <c r="UDL15" s="260"/>
      <c r="UDM15" s="260"/>
      <c r="UDN15" s="260"/>
      <c r="UDO15" s="260"/>
      <c r="UDP15" s="260"/>
      <c r="UDQ15" s="260"/>
      <c r="UDR15" s="260"/>
      <c r="UDS15" s="260"/>
      <c r="UDT15" s="260"/>
      <c r="UDU15" s="260"/>
      <c r="UDV15" s="260"/>
      <c r="UDW15" s="260"/>
      <c r="UDX15" s="260"/>
      <c r="UDY15" s="260"/>
      <c r="UDZ15" s="260"/>
      <c r="UEA15" s="260"/>
      <c r="UEB15" s="260"/>
      <c r="UEC15" s="260"/>
      <c r="UED15" s="260"/>
      <c r="UEE15" s="260"/>
      <c r="UEF15" s="260"/>
      <c r="UEG15" s="260"/>
      <c r="UEH15" s="260"/>
      <c r="UEI15" s="260"/>
      <c r="UEJ15" s="260"/>
      <c r="UEK15" s="260"/>
      <c r="UEL15" s="260"/>
      <c r="UEM15" s="260"/>
      <c r="UEN15" s="260"/>
      <c r="UEO15" s="260"/>
      <c r="UEP15" s="260"/>
      <c r="UEQ15" s="260"/>
      <c r="UER15" s="260"/>
      <c r="UES15" s="260"/>
      <c r="UET15" s="260"/>
      <c r="UEU15" s="260"/>
      <c r="UEV15" s="260"/>
      <c r="UEW15" s="260"/>
      <c r="UEX15" s="260"/>
      <c r="UEY15" s="260"/>
      <c r="UEZ15" s="260"/>
      <c r="UFA15" s="260"/>
      <c r="UFB15" s="260"/>
      <c r="UFC15" s="260"/>
      <c r="UFD15" s="260"/>
      <c r="UFE15" s="260"/>
      <c r="UFF15" s="260"/>
      <c r="UFG15" s="260"/>
      <c r="UFH15" s="260"/>
      <c r="UFI15" s="260"/>
      <c r="UFJ15" s="260"/>
      <c r="UFK15" s="260"/>
      <c r="UFL15" s="260"/>
      <c r="UFM15" s="260"/>
      <c r="UFN15" s="260"/>
      <c r="UFO15" s="260"/>
      <c r="UFP15" s="260"/>
      <c r="UFQ15" s="260"/>
      <c r="UFR15" s="260"/>
      <c r="UFS15" s="260"/>
      <c r="UFT15" s="260"/>
      <c r="UFU15" s="260"/>
      <c r="UFV15" s="260"/>
      <c r="UFW15" s="260"/>
      <c r="UFX15" s="260"/>
      <c r="UFY15" s="260"/>
      <c r="UFZ15" s="260"/>
      <c r="UGA15" s="260"/>
      <c r="UGB15" s="260"/>
      <c r="UGC15" s="260"/>
      <c r="UGD15" s="260"/>
      <c r="UGE15" s="260"/>
      <c r="UGF15" s="260"/>
      <c r="UGG15" s="260"/>
      <c r="UGH15" s="260"/>
      <c r="UGI15" s="260"/>
      <c r="UGJ15" s="260"/>
      <c r="UGK15" s="260"/>
      <c r="UGL15" s="260"/>
      <c r="UGM15" s="260"/>
      <c r="UGN15" s="260"/>
      <c r="UGO15" s="260"/>
      <c r="UGP15" s="260"/>
      <c r="UGQ15" s="260"/>
      <c r="UGR15" s="260"/>
      <c r="UGS15" s="260"/>
      <c r="UGT15" s="260"/>
      <c r="UGU15" s="260"/>
      <c r="UGV15" s="260"/>
      <c r="UGW15" s="260"/>
      <c r="UGX15" s="260"/>
      <c r="UGY15" s="260"/>
      <c r="UGZ15" s="260"/>
      <c r="UHA15" s="260"/>
      <c r="UHB15" s="260"/>
      <c r="UHC15" s="260"/>
      <c r="UHD15" s="260"/>
      <c r="UHE15" s="260"/>
      <c r="UHF15" s="260"/>
      <c r="UHG15" s="260"/>
      <c r="UHH15" s="260"/>
      <c r="UHI15" s="260"/>
      <c r="UHJ15" s="260"/>
      <c r="UHK15" s="260"/>
      <c r="UHL15" s="260"/>
      <c r="UHM15" s="260"/>
      <c r="UHN15" s="260"/>
      <c r="UHO15" s="260"/>
      <c r="UHP15" s="260"/>
      <c r="UHQ15" s="260"/>
      <c r="UHR15" s="260"/>
      <c r="UHS15" s="260"/>
      <c r="UHT15" s="260"/>
      <c r="UHU15" s="260"/>
      <c r="UHV15" s="260"/>
      <c r="UHW15" s="260"/>
      <c r="UHX15" s="260"/>
      <c r="UHY15" s="260"/>
      <c r="UHZ15" s="260"/>
      <c r="UIA15" s="260"/>
      <c r="UIB15" s="260"/>
      <c r="UIC15" s="260"/>
      <c r="UID15" s="260"/>
      <c r="UIE15" s="260"/>
      <c r="UIF15" s="260"/>
      <c r="UIG15" s="260"/>
      <c r="UIH15" s="260"/>
      <c r="UII15" s="260"/>
      <c r="UIJ15" s="260"/>
      <c r="UIK15" s="260"/>
      <c r="UIL15" s="260"/>
      <c r="UIM15" s="260"/>
      <c r="UIN15" s="260"/>
      <c r="UIO15" s="260"/>
      <c r="UIP15" s="260"/>
      <c r="UIQ15" s="260"/>
      <c r="UIR15" s="260"/>
      <c r="UIS15" s="260"/>
      <c r="UIT15" s="260"/>
      <c r="UIU15" s="260"/>
      <c r="UIV15" s="260"/>
      <c r="UIW15" s="260"/>
      <c r="UIX15" s="260"/>
      <c r="UIY15" s="260"/>
      <c r="UIZ15" s="260"/>
      <c r="UJA15" s="260"/>
      <c r="UJB15" s="260"/>
      <c r="UJC15" s="260"/>
      <c r="UJD15" s="260"/>
      <c r="UJE15" s="260"/>
      <c r="UJF15" s="260"/>
      <c r="UJG15" s="260"/>
      <c r="UJH15" s="260"/>
      <c r="UJI15" s="260"/>
      <c r="UJJ15" s="260"/>
      <c r="UJK15" s="260"/>
      <c r="UJL15" s="260"/>
      <c r="UJM15" s="260"/>
      <c r="UJN15" s="260"/>
      <c r="UJO15" s="260"/>
      <c r="UJP15" s="260"/>
      <c r="UJQ15" s="260"/>
      <c r="UJR15" s="260"/>
      <c r="UJS15" s="260"/>
      <c r="UJT15" s="260"/>
      <c r="UJU15" s="260"/>
      <c r="UJV15" s="260"/>
      <c r="UJW15" s="260"/>
      <c r="UJX15" s="260"/>
      <c r="UJY15" s="260"/>
      <c r="UJZ15" s="260"/>
      <c r="UKA15" s="260"/>
      <c r="UKB15" s="260"/>
      <c r="UKC15" s="260"/>
      <c r="UKD15" s="260"/>
      <c r="UKE15" s="260"/>
      <c r="UKF15" s="260"/>
      <c r="UKG15" s="260"/>
      <c r="UKH15" s="260"/>
      <c r="UKI15" s="260"/>
      <c r="UKJ15" s="260"/>
      <c r="UKK15" s="260"/>
      <c r="UKL15" s="260"/>
      <c r="UKM15" s="260"/>
      <c r="UKN15" s="260"/>
      <c r="UKO15" s="260"/>
      <c r="UKP15" s="260"/>
      <c r="UKQ15" s="260"/>
      <c r="UKR15" s="260"/>
      <c r="UKS15" s="260"/>
      <c r="UKT15" s="260"/>
      <c r="UKU15" s="260"/>
      <c r="UKV15" s="260"/>
      <c r="UKW15" s="260"/>
      <c r="UKX15" s="260"/>
      <c r="UKY15" s="260"/>
      <c r="UKZ15" s="260"/>
      <c r="ULA15" s="260"/>
      <c r="ULB15" s="260"/>
      <c r="ULC15" s="260"/>
      <c r="ULD15" s="260"/>
      <c r="ULE15" s="260"/>
      <c r="ULF15" s="260"/>
      <c r="ULG15" s="260"/>
      <c r="ULH15" s="260"/>
      <c r="ULI15" s="260"/>
      <c r="ULJ15" s="260"/>
      <c r="ULK15" s="260"/>
      <c r="ULL15" s="260"/>
      <c r="ULM15" s="260"/>
      <c r="ULN15" s="260"/>
      <c r="ULO15" s="260"/>
      <c r="ULP15" s="260"/>
      <c r="ULQ15" s="260"/>
      <c r="ULR15" s="260"/>
      <c r="ULS15" s="260"/>
      <c r="ULT15" s="260"/>
      <c r="ULU15" s="260"/>
      <c r="ULV15" s="260"/>
      <c r="ULW15" s="260"/>
      <c r="ULX15" s="260"/>
      <c r="ULY15" s="260"/>
      <c r="ULZ15" s="260"/>
      <c r="UMA15" s="260"/>
      <c r="UMB15" s="260"/>
      <c r="UMC15" s="260"/>
      <c r="UMD15" s="260"/>
      <c r="UME15" s="260"/>
      <c r="UMF15" s="260"/>
      <c r="UMG15" s="260"/>
      <c r="UMH15" s="260"/>
      <c r="UMI15" s="260"/>
      <c r="UMJ15" s="260"/>
      <c r="UMK15" s="260"/>
      <c r="UML15" s="260"/>
      <c r="UMM15" s="260"/>
      <c r="UMN15" s="260"/>
      <c r="UMO15" s="260"/>
      <c r="UMP15" s="260"/>
      <c r="UMQ15" s="260"/>
      <c r="UMR15" s="260"/>
      <c r="UMS15" s="260"/>
      <c r="UMT15" s="260"/>
      <c r="UMU15" s="260"/>
      <c r="UMV15" s="260"/>
      <c r="UMW15" s="260"/>
      <c r="UMX15" s="260"/>
      <c r="UMY15" s="260"/>
      <c r="UMZ15" s="260"/>
      <c r="UNA15" s="260"/>
      <c r="UNB15" s="260"/>
      <c r="UNC15" s="260"/>
      <c r="UND15" s="260"/>
      <c r="UNE15" s="260"/>
      <c r="UNF15" s="260"/>
      <c r="UNG15" s="260"/>
      <c r="UNH15" s="260"/>
      <c r="UNI15" s="260"/>
      <c r="UNJ15" s="260"/>
      <c r="UNK15" s="260"/>
      <c r="UNL15" s="260"/>
      <c r="UNM15" s="260"/>
      <c r="UNN15" s="260"/>
      <c r="UNO15" s="260"/>
      <c r="UNP15" s="260"/>
      <c r="UNQ15" s="260"/>
      <c r="UNR15" s="260"/>
      <c r="UNS15" s="260"/>
      <c r="UNT15" s="260"/>
      <c r="UNU15" s="260"/>
      <c r="UNV15" s="260"/>
      <c r="UNW15" s="260"/>
      <c r="UNX15" s="260"/>
      <c r="UNY15" s="260"/>
      <c r="UNZ15" s="260"/>
      <c r="UOA15" s="260"/>
      <c r="UOB15" s="260"/>
      <c r="UOC15" s="260"/>
      <c r="UOD15" s="260"/>
      <c r="UOE15" s="260"/>
      <c r="UOF15" s="260"/>
      <c r="UOG15" s="260"/>
      <c r="UOH15" s="260"/>
      <c r="UOI15" s="260"/>
      <c r="UOJ15" s="260"/>
      <c r="UOK15" s="260"/>
      <c r="UOL15" s="260"/>
      <c r="UOM15" s="260"/>
      <c r="UON15" s="260"/>
      <c r="UOO15" s="260"/>
      <c r="UOP15" s="260"/>
      <c r="UOQ15" s="260"/>
      <c r="UOR15" s="260"/>
      <c r="UOS15" s="260"/>
      <c r="UOT15" s="260"/>
      <c r="UOU15" s="260"/>
      <c r="UOV15" s="260"/>
      <c r="UOW15" s="260"/>
      <c r="UOX15" s="260"/>
      <c r="UOY15" s="260"/>
      <c r="UOZ15" s="260"/>
      <c r="UPA15" s="260"/>
      <c r="UPB15" s="260"/>
      <c r="UPC15" s="260"/>
      <c r="UPD15" s="260"/>
      <c r="UPE15" s="260"/>
      <c r="UPF15" s="260"/>
      <c r="UPG15" s="260"/>
      <c r="UPH15" s="260"/>
      <c r="UPI15" s="260"/>
      <c r="UPJ15" s="260"/>
      <c r="UPK15" s="260"/>
      <c r="UPL15" s="260"/>
      <c r="UPM15" s="260"/>
      <c r="UPN15" s="260"/>
      <c r="UPO15" s="260"/>
      <c r="UPP15" s="260"/>
      <c r="UPQ15" s="260"/>
      <c r="UPR15" s="260"/>
      <c r="UPS15" s="260"/>
      <c r="UPT15" s="260"/>
      <c r="UPU15" s="260"/>
      <c r="UPV15" s="260"/>
      <c r="UPW15" s="260"/>
      <c r="UPX15" s="260"/>
      <c r="UPY15" s="260"/>
      <c r="UPZ15" s="260"/>
      <c r="UQA15" s="260"/>
      <c r="UQB15" s="260"/>
      <c r="UQC15" s="260"/>
      <c r="UQD15" s="260"/>
      <c r="UQE15" s="260"/>
      <c r="UQF15" s="260"/>
      <c r="UQG15" s="260"/>
      <c r="UQH15" s="260"/>
      <c r="UQI15" s="260"/>
      <c r="UQJ15" s="260"/>
      <c r="UQK15" s="260"/>
      <c r="UQL15" s="260"/>
      <c r="UQM15" s="260"/>
      <c r="UQN15" s="260"/>
      <c r="UQO15" s="260"/>
      <c r="UQP15" s="260"/>
      <c r="UQQ15" s="260"/>
      <c r="UQR15" s="260"/>
      <c r="UQS15" s="260"/>
      <c r="UQT15" s="260"/>
      <c r="UQU15" s="260"/>
      <c r="UQV15" s="260"/>
      <c r="UQW15" s="260"/>
      <c r="UQX15" s="260"/>
      <c r="UQY15" s="260"/>
      <c r="UQZ15" s="260"/>
      <c r="URA15" s="260"/>
      <c r="URB15" s="260"/>
      <c r="URC15" s="260"/>
      <c r="URD15" s="260"/>
      <c r="URE15" s="260"/>
      <c r="URF15" s="260"/>
      <c r="URG15" s="260"/>
      <c r="URH15" s="260"/>
      <c r="URI15" s="260"/>
      <c r="URJ15" s="260"/>
      <c r="URK15" s="260"/>
      <c r="URL15" s="260"/>
      <c r="URM15" s="260"/>
      <c r="URN15" s="260"/>
      <c r="URO15" s="260"/>
      <c r="URP15" s="260"/>
      <c r="URQ15" s="260"/>
      <c r="URR15" s="260"/>
      <c r="URS15" s="260"/>
      <c r="URT15" s="260"/>
      <c r="URU15" s="260"/>
      <c r="URV15" s="260"/>
      <c r="URW15" s="260"/>
      <c r="URX15" s="260"/>
      <c r="URY15" s="260"/>
      <c r="URZ15" s="260"/>
      <c r="USA15" s="260"/>
      <c r="USB15" s="260"/>
      <c r="USC15" s="260"/>
      <c r="USD15" s="260"/>
      <c r="USE15" s="260"/>
      <c r="USF15" s="260"/>
      <c r="USG15" s="260"/>
      <c r="USH15" s="260"/>
      <c r="USI15" s="260"/>
      <c r="USJ15" s="260"/>
      <c r="USK15" s="260"/>
      <c r="USL15" s="260"/>
      <c r="USM15" s="260"/>
      <c r="USN15" s="260"/>
      <c r="USO15" s="260"/>
      <c r="USP15" s="260"/>
      <c r="USQ15" s="260"/>
      <c r="USR15" s="260"/>
      <c r="USS15" s="260"/>
      <c r="UST15" s="260"/>
      <c r="USU15" s="260"/>
      <c r="USV15" s="260"/>
      <c r="USW15" s="260"/>
      <c r="USX15" s="260"/>
      <c r="USY15" s="260"/>
      <c r="USZ15" s="260"/>
      <c r="UTA15" s="260"/>
      <c r="UTB15" s="260"/>
      <c r="UTC15" s="260"/>
      <c r="UTD15" s="260"/>
      <c r="UTE15" s="260"/>
      <c r="UTF15" s="260"/>
      <c r="UTG15" s="260"/>
      <c r="UTH15" s="260"/>
      <c r="UTI15" s="260"/>
      <c r="UTJ15" s="260"/>
      <c r="UTK15" s="260"/>
      <c r="UTL15" s="260"/>
      <c r="UTM15" s="260"/>
      <c r="UTN15" s="260"/>
      <c r="UTO15" s="260"/>
      <c r="UTP15" s="260"/>
      <c r="UTQ15" s="260"/>
      <c r="UTR15" s="260"/>
      <c r="UTS15" s="260"/>
      <c r="UTT15" s="260"/>
      <c r="UTU15" s="260"/>
      <c r="UTV15" s="260"/>
      <c r="UTW15" s="260"/>
      <c r="UTX15" s="260"/>
      <c r="UTY15" s="260"/>
      <c r="UTZ15" s="260"/>
      <c r="UUA15" s="260"/>
      <c r="UUB15" s="260"/>
      <c r="UUC15" s="260"/>
      <c r="UUD15" s="260"/>
      <c r="UUE15" s="260"/>
      <c r="UUF15" s="260"/>
      <c r="UUG15" s="260"/>
      <c r="UUH15" s="260"/>
      <c r="UUI15" s="260"/>
      <c r="UUJ15" s="260"/>
      <c r="UUK15" s="260"/>
      <c r="UUL15" s="260"/>
      <c r="UUM15" s="260"/>
      <c r="UUN15" s="260"/>
      <c r="UUO15" s="260"/>
      <c r="UUP15" s="260"/>
      <c r="UUQ15" s="260"/>
      <c r="UUR15" s="260"/>
      <c r="UUS15" s="260"/>
      <c r="UUT15" s="260"/>
      <c r="UUU15" s="260"/>
      <c r="UUV15" s="260"/>
      <c r="UUW15" s="260"/>
      <c r="UUX15" s="260"/>
      <c r="UUY15" s="260"/>
      <c r="UUZ15" s="260"/>
      <c r="UVA15" s="260"/>
      <c r="UVB15" s="260"/>
      <c r="UVC15" s="260"/>
      <c r="UVD15" s="260"/>
      <c r="UVE15" s="260"/>
      <c r="UVF15" s="260"/>
      <c r="UVG15" s="260"/>
      <c r="UVH15" s="260"/>
      <c r="UVI15" s="260"/>
      <c r="UVJ15" s="260"/>
      <c r="UVK15" s="260"/>
      <c r="UVL15" s="260"/>
      <c r="UVM15" s="260"/>
      <c r="UVN15" s="260"/>
      <c r="UVO15" s="260"/>
      <c r="UVP15" s="260"/>
      <c r="UVQ15" s="260"/>
      <c r="UVR15" s="260"/>
      <c r="UVS15" s="260"/>
      <c r="UVT15" s="260"/>
      <c r="UVU15" s="260"/>
      <c r="UVV15" s="260"/>
      <c r="UVW15" s="260"/>
      <c r="UVX15" s="260"/>
      <c r="UVY15" s="260"/>
      <c r="UVZ15" s="260"/>
      <c r="UWA15" s="260"/>
      <c r="UWB15" s="260"/>
      <c r="UWC15" s="260"/>
      <c r="UWD15" s="260"/>
      <c r="UWE15" s="260"/>
      <c r="UWF15" s="260"/>
      <c r="UWG15" s="260"/>
      <c r="UWH15" s="260"/>
      <c r="UWI15" s="260"/>
      <c r="UWJ15" s="260"/>
      <c r="UWK15" s="260"/>
      <c r="UWL15" s="260"/>
      <c r="UWM15" s="260"/>
      <c r="UWN15" s="260"/>
      <c r="UWO15" s="260"/>
      <c r="UWP15" s="260"/>
      <c r="UWQ15" s="260"/>
      <c r="UWR15" s="260"/>
      <c r="UWS15" s="260"/>
      <c r="UWT15" s="260"/>
      <c r="UWU15" s="260"/>
      <c r="UWV15" s="260"/>
      <c r="UWW15" s="260"/>
      <c r="UWX15" s="260"/>
      <c r="UWY15" s="260"/>
      <c r="UWZ15" s="260"/>
      <c r="UXA15" s="260"/>
      <c r="UXB15" s="260"/>
      <c r="UXC15" s="260"/>
      <c r="UXD15" s="260"/>
      <c r="UXE15" s="260"/>
      <c r="UXF15" s="260"/>
      <c r="UXG15" s="260"/>
      <c r="UXH15" s="260"/>
      <c r="UXI15" s="260"/>
      <c r="UXJ15" s="260"/>
      <c r="UXK15" s="260"/>
      <c r="UXL15" s="260"/>
      <c r="UXM15" s="260"/>
      <c r="UXN15" s="260"/>
      <c r="UXO15" s="260"/>
      <c r="UXP15" s="260"/>
      <c r="UXQ15" s="260"/>
      <c r="UXR15" s="260"/>
      <c r="UXS15" s="260"/>
      <c r="UXT15" s="260"/>
      <c r="UXU15" s="260"/>
      <c r="UXV15" s="260"/>
      <c r="UXW15" s="260"/>
      <c r="UXX15" s="260"/>
      <c r="UXY15" s="260"/>
      <c r="UXZ15" s="260"/>
      <c r="UYA15" s="260"/>
      <c r="UYB15" s="260"/>
      <c r="UYC15" s="260"/>
      <c r="UYD15" s="260"/>
      <c r="UYE15" s="260"/>
      <c r="UYF15" s="260"/>
      <c r="UYG15" s="260"/>
      <c r="UYH15" s="260"/>
      <c r="UYI15" s="260"/>
      <c r="UYJ15" s="260"/>
      <c r="UYK15" s="260"/>
      <c r="UYL15" s="260"/>
      <c r="UYM15" s="260"/>
      <c r="UYN15" s="260"/>
      <c r="UYO15" s="260"/>
      <c r="UYP15" s="260"/>
      <c r="UYQ15" s="260"/>
      <c r="UYR15" s="260"/>
      <c r="UYS15" s="260"/>
      <c r="UYT15" s="260"/>
      <c r="UYU15" s="260"/>
      <c r="UYV15" s="260"/>
      <c r="UYW15" s="260"/>
      <c r="UYX15" s="260"/>
      <c r="UYY15" s="260"/>
      <c r="UYZ15" s="260"/>
      <c r="UZA15" s="260"/>
      <c r="UZB15" s="260"/>
      <c r="UZC15" s="260"/>
      <c r="UZD15" s="260"/>
      <c r="UZE15" s="260"/>
      <c r="UZF15" s="260"/>
      <c r="UZG15" s="260"/>
      <c r="UZH15" s="260"/>
      <c r="UZI15" s="260"/>
      <c r="UZJ15" s="260"/>
      <c r="UZK15" s="260"/>
      <c r="UZL15" s="260"/>
      <c r="UZM15" s="260"/>
      <c r="UZN15" s="260"/>
      <c r="UZO15" s="260"/>
      <c r="UZP15" s="260"/>
      <c r="UZQ15" s="260"/>
      <c r="UZR15" s="260"/>
      <c r="UZS15" s="260"/>
      <c r="UZT15" s="260"/>
      <c r="UZU15" s="260"/>
      <c r="UZV15" s="260"/>
      <c r="UZW15" s="260"/>
      <c r="UZX15" s="260"/>
      <c r="UZY15" s="260"/>
      <c r="UZZ15" s="260"/>
      <c r="VAA15" s="260"/>
      <c r="VAB15" s="260"/>
      <c r="VAC15" s="260"/>
      <c r="VAD15" s="260"/>
      <c r="VAE15" s="260"/>
      <c r="VAF15" s="260"/>
      <c r="VAG15" s="260"/>
      <c r="VAH15" s="260"/>
      <c r="VAI15" s="260"/>
      <c r="VAJ15" s="260"/>
      <c r="VAK15" s="260"/>
      <c r="VAL15" s="260"/>
      <c r="VAM15" s="260"/>
      <c r="VAN15" s="260"/>
      <c r="VAO15" s="260"/>
      <c r="VAP15" s="260"/>
      <c r="VAQ15" s="260"/>
      <c r="VAR15" s="260"/>
      <c r="VAS15" s="260"/>
      <c r="VAT15" s="260"/>
      <c r="VAU15" s="260"/>
      <c r="VAV15" s="260"/>
      <c r="VAW15" s="260"/>
      <c r="VAX15" s="260"/>
      <c r="VAY15" s="260"/>
      <c r="VAZ15" s="260"/>
      <c r="VBA15" s="260"/>
      <c r="VBB15" s="260"/>
      <c r="VBC15" s="260"/>
      <c r="VBD15" s="260"/>
      <c r="VBE15" s="260"/>
      <c r="VBF15" s="260"/>
      <c r="VBG15" s="260"/>
      <c r="VBH15" s="260"/>
      <c r="VBI15" s="260"/>
      <c r="VBJ15" s="260"/>
      <c r="VBK15" s="260"/>
      <c r="VBL15" s="260"/>
      <c r="VBM15" s="260"/>
      <c r="VBN15" s="260"/>
      <c r="VBO15" s="260"/>
      <c r="VBP15" s="260"/>
      <c r="VBQ15" s="260"/>
      <c r="VBR15" s="260"/>
      <c r="VBS15" s="260"/>
      <c r="VBT15" s="260"/>
      <c r="VBU15" s="260"/>
      <c r="VBV15" s="260"/>
      <c r="VBW15" s="260"/>
      <c r="VBX15" s="260"/>
      <c r="VBY15" s="260"/>
      <c r="VBZ15" s="260"/>
      <c r="VCA15" s="260"/>
      <c r="VCB15" s="260"/>
      <c r="VCC15" s="260"/>
      <c r="VCD15" s="260"/>
      <c r="VCE15" s="260"/>
      <c r="VCF15" s="260"/>
      <c r="VCG15" s="260"/>
      <c r="VCH15" s="260"/>
      <c r="VCI15" s="260"/>
      <c r="VCJ15" s="260"/>
      <c r="VCK15" s="260"/>
      <c r="VCL15" s="260"/>
      <c r="VCM15" s="260"/>
      <c r="VCN15" s="260"/>
      <c r="VCO15" s="260"/>
      <c r="VCP15" s="260"/>
      <c r="VCQ15" s="260"/>
      <c r="VCR15" s="260"/>
      <c r="VCS15" s="260"/>
      <c r="VCT15" s="260"/>
      <c r="VCU15" s="260"/>
      <c r="VCV15" s="260"/>
      <c r="VCW15" s="260"/>
      <c r="VCX15" s="260"/>
      <c r="VCY15" s="260"/>
      <c r="VCZ15" s="260"/>
      <c r="VDA15" s="260"/>
      <c r="VDB15" s="260"/>
      <c r="VDC15" s="260"/>
      <c r="VDD15" s="260"/>
      <c r="VDE15" s="260"/>
      <c r="VDF15" s="260"/>
      <c r="VDG15" s="260"/>
      <c r="VDH15" s="260"/>
      <c r="VDI15" s="260"/>
      <c r="VDJ15" s="260"/>
      <c r="VDK15" s="260"/>
      <c r="VDL15" s="260"/>
      <c r="VDM15" s="260"/>
      <c r="VDN15" s="260"/>
      <c r="VDO15" s="260"/>
      <c r="VDP15" s="260"/>
      <c r="VDQ15" s="260"/>
      <c r="VDR15" s="260"/>
      <c r="VDS15" s="260"/>
      <c r="VDT15" s="260"/>
      <c r="VDU15" s="260"/>
      <c r="VDV15" s="260"/>
      <c r="VDW15" s="260"/>
      <c r="VDX15" s="260"/>
      <c r="VDY15" s="260"/>
      <c r="VDZ15" s="260"/>
      <c r="VEA15" s="260"/>
      <c r="VEB15" s="260"/>
      <c r="VEC15" s="260"/>
      <c r="VED15" s="260"/>
      <c r="VEE15" s="260"/>
      <c r="VEF15" s="260"/>
      <c r="VEG15" s="260"/>
      <c r="VEH15" s="260"/>
      <c r="VEI15" s="260"/>
      <c r="VEJ15" s="260"/>
      <c r="VEK15" s="260"/>
      <c r="VEL15" s="260"/>
      <c r="VEM15" s="260"/>
      <c r="VEN15" s="260"/>
      <c r="VEO15" s="260"/>
      <c r="VEP15" s="260"/>
      <c r="VEQ15" s="260"/>
      <c r="VER15" s="260"/>
      <c r="VES15" s="260"/>
      <c r="VET15" s="260"/>
      <c r="VEU15" s="260"/>
      <c r="VEV15" s="260"/>
      <c r="VEW15" s="260"/>
      <c r="VEX15" s="260"/>
      <c r="VEY15" s="260"/>
      <c r="VEZ15" s="260"/>
      <c r="VFA15" s="260"/>
      <c r="VFB15" s="260"/>
      <c r="VFC15" s="260"/>
      <c r="VFD15" s="260"/>
      <c r="VFE15" s="260"/>
      <c r="VFF15" s="260"/>
      <c r="VFG15" s="260"/>
      <c r="VFH15" s="260"/>
      <c r="VFI15" s="260"/>
      <c r="VFJ15" s="260"/>
      <c r="VFK15" s="260"/>
      <c r="VFL15" s="260"/>
      <c r="VFM15" s="260"/>
      <c r="VFN15" s="260"/>
      <c r="VFO15" s="260"/>
      <c r="VFP15" s="260"/>
      <c r="VFQ15" s="260"/>
      <c r="VFR15" s="260"/>
      <c r="VFS15" s="260"/>
      <c r="VFT15" s="260"/>
      <c r="VFU15" s="260"/>
      <c r="VFV15" s="260"/>
      <c r="VFW15" s="260"/>
      <c r="VFX15" s="260"/>
      <c r="VFY15" s="260"/>
      <c r="VFZ15" s="260"/>
      <c r="VGA15" s="260"/>
      <c r="VGB15" s="260"/>
      <c r="VGC15" s="260"/>
      <c r="VGD15" s="260"/>
      <c r="VGE15" s="260"/>
      <c r="VGF15" s="260"/>
      <c r="VGG15" s="260"/>
      <c r="VGH15" s="260"/>
      <c r="VGI15" s="260"/>
      <c r="VGJ15" s="260"/>
      <c r="VGK15" s="260"/>
      <c r="VGL15" s="260"/>
      <c r="VGM15" s="260"/>
      <c r="VGN15" s="260"/>
      <c r="VGO15" s="260"/>
      <c r="VGP15" s="260"/>
      <c r="VGQ15" s="260"/>
      <c r="VGR15" s="260"/>
      <c r="VGS15" s="260"/>
      <c r="VGT15" s="260"/>
      <c r="VGU15" s="260"/>
      <c r="VGV15" s="260"/>
      <c r="VGW15" s="260"/>
      <c r="VGX15" s="260"/>
      <c r="VGY15" s="260"/>
      <c r="VGZ15" s="260"/>
      <c r="VHA15" s="260"/>
      <c r="VHB15" s="260"/>
      <c r="VHC15" s="260"/>
      <c r="VHD15" s="260"/>
      <c r="VHE15" s="260"/>
      <c r="VHF15" s="260"/>
      <c r="VHG15" s="260"/>
      <c r="VHH15" s="260"/>
      <c r="VHI15" s="260"/>
      <c r="VHJ15" s="260"/>
      <c r="VHK15" s="260"/>
      <c r="VHL15" s="260"/>
      <c r="VHM15" s="260"/>
      <c r="VHN15" s="260"/>
      <c r="VHO15" s="260"/>
      <c r="VHP15" s="260"/>
      <c r="VHQ15" s="260"/>
      <c r="VHR15" s="260"/>
      <c r="VHS15" s="260"/>
      <c r="VHT15" s="260"/>
      <c r="VHU15" s="260"/>
      <c r="VHV15" s="260"/>
      <c r="VHW15" s="260"/>
      <c r="VHX15" s="260"/>
      <c r="VHY15" s="260"/>
      <c r="VHZ15" s="260"/>
      <c r="VIA15" s="260"/>
      <c r="VIB15" s="260"/>
      <c r="VIC15" s="260"/>
      <c r="VID15" s="260"/>
      <c r="VIE15" s="260"/>
      <c r="VIF15" s="260"/>
      <c r="VIG15" s="260"/>
      <c r="VIH15" s="260"/>
      <c r="VII15" s="260"/>
      <c r="VIJ15" s="260"/>
      <c r="VIK15" s="260"/>
      <c r="VIL15" s="260"/>
      <c r="VIM15" s="260"/>
      <c r="VIN15" s="260"/>
      <c r="VIO15" s="260"/>
      <c r="VIP15" s="260"/>
      <c r="VIQ15" s="260"/>
      <c r="VIR15" s="260"/>
      <c r="VIS15" s="260"/>
      <c r="VIT15" s="260"/>
      <c r="VIU15" s="260"/>
      <c r="VIV15" s="260"/>
      <c r="VIW15" s="260"/>
      <c r="VIX15" s="260"/>
      <c r="VIY15" s="260"/>
      <c r="VIZ15" s="260"/>
      <c r="VJA15" s="260"/>
      <c r="VJB15" s="260"/>
      <c r="VJC15" s="260"/>
      <c r="VJD15" s="260"/>
      <c r="VJE15" s="260"/>
      <c r="VJF15" s="260"/>
      <c r="VJG15" s="260"/>
      <c r="VJH15" s="260"/>
      <c r="VJI15" s="260"/>
      <c r="VJJ15" s="260"/>
      <c r="VJK15" s="260"/>
      <c r="VJL15" s="260"/>
      <c r="VJM15" s="260"/>
      <c r="VJN15" s="260"/>
      <c r="VJO15" s="260"/>
      <c r="VJP15" s="260"/>
      <c r="VJQ15" s="260"/>
      <c r="VJR15" s="260"/>
      <c r="VJS15" s="260"/>
      <c r="VJT15" s="260"/>
      <c r="VJU15" s="260"/>
      <c r="VJV15" s="260"/>
      <c r="VJW15" s="260"/>
      <c r="VJX15" s="260"/>
      <c r="VJY15" s="260"/>
      <c r="VJZ15" s="260"/>
      <c r="VKA15" s="260"/>
      <c r="VKB15" s="260"/>
      <c r="VKC15" s="260"/>
      <c r="VKD15" s="260"/>
      <c r="VKE15" s="260"/>
      <c r="VKF15" s="260"/>
      <c r="VKG15" s="260"/>
      <c r="VKH15" s="260"/>
      <c r="VKI15" s="260"/>
      <c r="VKJ15" s="260"/>
      <c r="VKK15" s="260"/>
      <c r="VKL15" s="260"/>
      <c r="VKM15" s="260"/>
      <c r="VKN15" s="260"/>
      <c r="VKO15" s="260"/>
      <c r="VKP15" s="260"/>
      <c r="VKQ15" s="260"/>
      <c r="VKR15" s="260"/>
      <c r="VKS15" s="260"/>
      <c r="VKT15" s="260"/>
      <c r="VKU15" s="260"/>
      <c r="VKV15" s="260"/>
      <c r="VKW15" s="260"/>
      <c r="VKX15" s="260"/>
      <c r="VKY15" s="260"/>
      <c r="VKZ15" s="260"/>
      <c r="VLA15" s="260"/>
      <c r="VLB15" s="260"/>
      <c r="VLC15" s="260"/>
      <c r="VLD15" s="260"/>
      <c r="VLE15" s="260"/>
      <c r="VLF15" s="260"/>
      <c r="VLG15" s="260"/>
      <c r="VLH15" s="260"/>
      <c r="VLI15" s="260"/>
      <c r="VLJ15" s="260"/>
      <c r="VLK15" s="260"/>
      <c r="VLL15" s="260"/>
      <c r="VLM15" s="260"/>
      <c r="VLN15" s="260"/>
      <c r="VLO15" s="260"/>
      <c r="VLP15" s="260"/>
      <c r="VLQ15" s="260"/>
      <c r="VLR15" s="260"/>
      <c r="VLS15" s="260"/>
      <c r="VLT15" s="260"/>
      <c r="VLU15" s="260"/>
      <c r="VLV15" s="260"/>
      <c r="VLW15" s="260"/>
      <c r="VLX15" s="260"/>
      <c r="VLY15" s="260"/>
      <c r="VLZ15" s="260"/>
      <c r="VMA15" s="260"/>
      <c r="VMB15" s="260"/>
      <c r="VMC15" s="260"/>
      <c r="VMD15" s="260"/>
      <c r="VME15" s="260"/>
      <c r="VMF15" s="260"/>
      <c r="VMG15" s="260"/>
      <c r="VMH15" s="260"/>
      <c r="VMI15" s="260"/>
      <c r="VMJ15" s="260"/>
      <c r="VMK15" s="260"/>
      <c r="VML15" s="260"/>
      <c r="VMM15" s="260"/>
      <c r="VMN15" s="260"/>
      <c r="VMO15" s="260"/>
      <c r="VMP15" s="260"/>
      <c r="VMQ15" s="260"/>
      <c r="VMR15" s="260"/>
      <c r="VMS15" s="260"/>
      <c r="VMT15" s="260"/>
      <c r="VMU15" s="260"/>
      <c r="VMV15" s="260"/>
      <c r="VMW15" s="260"/>
      <c r="VMX15" s="260"/>
      <c r="VMY15" s="260"/>
      <c r="VMZ15" s="260"/>
      <c r="VNA15" s="260"/>
      <c r="VNB15" s="260"/>
      <c r="VNC15" s="260"/>
      <c r="VND15" s="260"/>
      <c r="VNE15" s="260"/>
      <c r="VNF15" s="260"/>
      <c r="VNG15" s="260"/>
      <c r="VNH15" s="260"/>
      <c r="VNI15" s="260"/>
      <c r="VNJ15" s="260"/>
      <c r="VNK15" s="260"/>
      <c r="VNL15" s="260"/>
      <c r="VNM15" s="260"/>
      <c r="VNN15" s="260"/>
      <c r="VNO15" s="260"/>
      <c r="VNP15" s="260"/>
      <c r="VNQ15" s="260"/>
      <c r="VNR15" s="260"/>
      <c r="VNS15" s="260"/>
      <c r="VNT15" s="260"/>
      <c r="VNU15" s="260"/>
      <c r="VNV15" s="260"/>
      <c r="VNW15" s="260"/>
      <c r="VNX15" s="260"/>
      <c r="VNY15" s="260"/>
      <c r="VNZ15" s="260"/>
      <c r="VOA15" s="260"/>
      <c r="VOB15" s="260"/>
      <c r="VOC15" s="260"/>
      <c r="VOD15" s="260"/>
      <c r="VOE15" s="260"/>
      <c r="VOF15" s="260"/>
      <c r="VOG15" s="260"/>
      <c r="VOH15" s="260"/>
      <c r="VOI15" s="260"/>
      <c r="VOJ15" s="260"/>
      <c r="VOK15" s="260"/>
      <c r="VOL15" s="260"/>
      <c r="VOM15" s="260"/>
      <c r="VON15" s="260"/>
      <c r="VOO15" s="260"/>
      <c r="VOP15" s="260"/>
      <c r="VOQ15" s="260"/>
      <c r="VOR15" s="260"/>
      <c r="VOS15" s="260"/>
      <c r="VOT15" s="260"/>
      <c r="VOU15" s="260"/>
      <c r="VOV15" s="260"/>
      <c r="VOW15" s="260"/>
      <c r="VOX15" s="260"/>
      <c r="VOY15" s="260"/>
      <c r="VOZ15" s="260"/>
      <c r="VPA15" s="260"/>
      <c r="VPB15" s="260"/>
      <c r="VPC15" s="260"/>
      <c r="VPD15" s="260"/>
      <c r="VPE15" s="260"/>
      <c r="VPF15" s="260"/>
      <c r="VPG15" s="260"/>
      <c r="VPH15" s="260"/>
      <c r="VPI15" s="260"/>
      <c r="VPJ15" s="260"/>
      <c r="VPK15" s="260"/>
      <c r="VPL15" s="260"/>
      <c r="VPM15" s="260"/>
      <c r="VPN15" s="260"/>
      <c r="VPO15" s="260"/>
      <c r="VPP15" s="260"/>
      <c r="VPQ15" s="260"/>
      <c r="VPR15" s="260"/>
      <c r="VPS15" s="260"/>
      <c r="VPT15" s="260"/>
      <c r="VPU15" s="260"/>
      <c r="VPV15" s="260"/>
      <c r="VPW15" s="260"/>
      <c r="VPX15" s="260"/>
      <c r="VPY15" s="260"/>
      <c r="VPZ15" s="260"/>
      <c r="VQA15" s="260"/>
      <c r="VQB15" s="260"/>
      <c r="VQC15" s="260"/>
      <c r="VQD15" s="260"/>
      <c r="VQE15" s="260"/>
      <c r="VQF15" s="260"/>
      <c r="VQG15" s="260"/>
      <c r="VQH15" s="260"/>
      <c r="VQI15" s="260"/>
      <c r="VQJ15" s="260"/>
      <c r="VQK15" s="260"/>
      <c r="VQL15" s="260"/>
      <c r="VQM15" s="260"/>
      <c r="VQN15" s="260"/>
      <c r="VQO15" s="260"/>
      <c r="VQP15" s="260"/>
      <c r="VQQ15" s="260"/>
      <c r="VQR15" s="260"/>
      <c r="VQS15" s="260"/>
      <c r="VQT15" s="260"/>
      <c r="VQU15" s="260"/>
      <c r="VQV15" s="260"/>
      <c r="VQW15" s="260"/>
      <c r="VQX15" s="260"/>
      <c r="VQY15" s="260"/>
      <c r="VQZ15" s="260"/>
      <c r="VRA15" s="260"/>
      <c r="VRB15" s="260"/>
      <c r="VRC15" s="260"/>
      <c r="VRD15" s="260"/>
      <c r="VRE15" s="260"/>
      <c r="VRF15" s="260"/>
      <c r="VRG15" s="260"/>
      <c r="VRH15" s="260"/>
      <c r="VRI15" s="260"/>
      <c r="VRJ15" s="260"/>
      <c r="VRK15" s="260"/>
      <c r="VRL15" s="260"/>
      <c r="VRM15" s="260"/>
      <c r="VRN15" s="260"/>
      <c r="VRO15" s="260"/>
      <c r="VRP15" s="260"/>
      <c r="VRQ15" s="260"/>
      <c r="VRR15" s="260"/>
      <c r="VRS15" s="260"/>
      <c r="VRT15" s="260"/>
      <c r="VRU15" s="260"/>
      <c r="VRV15" s="260"/>
      <c r="VRW15" s="260"/>
      <c r="VRX15" s="260"/>
      <c r="VRY15" s="260"/>
      <c r="VRZ15" s="260"/>
      <c r="VSA15" s="260"/>
      <c r="VSB15" s="260"/>
      <c r="VSC15" s="260"/>
      <c r="VSD15" s="260"/>
      <c r="VSE15" s="260"/>
      <c r="VSF15" s="260"/>
      <c r="VSG15" s="260"/>
      <c r="VSH15" s="260"/>
      <c r="VSI15" s="260"/>
      <c r="VSJ15" s="260"/>
      <c r="VSK15" s="260"/>
      <c r="VSL15" s="260"/>
      <c r="VSM15" s="260"/>
      <c r="VSN15" s="260"/>
      <c r="VSO15" s="260"/>
      <c r="VSP15" s="260"/>
      <c r="VSQ15" s="260"/>
      <c r="VSR15" s="260"/>
      <c r="VSS15" s="260"/>
      <c r="VST15" s="260"/>
      <c r="VSU15" s="260"/>
      <c r="VSV15" s="260"/>
      <c r="VSW15" s="260"/>
      <c r="VSX15" s="260"/>
      <c r="VSY15" s="260"/>
      <c r="VSZ15" s="260"/>
      <c r="VTA15" s="260"/>
      <c r="VTB15" s="260"/>
      <c r="VTC15" s="260"/>
      <c r="VTD15" s="260"/>
      <c r="VTE15" s="260"/>
      <c r="VTF15" s="260"/>
      <c r="VTG15" s="260"/>
      <c r="VTH15" s="260"/>
      <c r="VTI15" s="260"/>
      <c r="VTJ15" s="260"/>
      <c r="VTK15" s="260"/>
      <c r="VTL15" s="260"/>
      <c r="VTM15" s="260"/>
      <c r="VTN15" s="260"/>
      <c r="VTO15" s="260"/>
      <c r="VTP15" s="260"/>
      <c r="VTQ15" s="260"/>
      <c r="VTR15" s="260"/>
      <c r="VTS15" s="260"/>
      <c r="VTT15" s="260"/>
      <c r="VTU15" s="260"/>
      <c r="VTV15" s="260"/>
      <c r="VTW15" s="260"/>
      <c r="VTX15" s="260"/>
      <c r="VTY15" s="260"/>
      <c r="VTZ15" s="260"/>
      <c r="VUA15" s="260"/>
      <c r="VUB15" s="260"/>
      <c r="VUC15" s="260"/>
      <c r="VUD15" s="260"/>
      <c r="VUE15" s="260"/>
      <c r="VUF15" s="260"/>
      <c r="VUG15" s="260"/>
      <c r="VUH15" s="260"/>
      <c r="VUI15" s="260"/>
      <c r="VUJ15" s="260"/>
      <c r="VUK15" s="260"/>
      <c r="VUL15" s="260"/>
      <c r="VUM15" s="260"/>
      <c r="VUN15" s="260"/>
      <c r="VUO15" s="260"/>
      <c r="VUP15" s="260"/>
      <c r="VUQ15" s="260"/>
      <c r="VUR15" s="260"/>
      <c r="VUS15" s="260"/>
      <c r="VUT15" s="260"/>
      <c r="VUU15" s="260"/>
      <c r="VUV15" s="260"/>
      <c r="VUW15" s="260"/>
      <c r="VUX15" s="260"/>
      <c r="VUY15" s="260"/>
      <c r="VUZ15" s="260"/>
      <c r="VVA15" s="260"/>
      <c r="VVB15" s="260"/>
      <c r="VVC15" s="260"/>
      <c r="VVD15" s="260"/>
      <c r="VVE15" s="260"/>
      <c r="VVF15" s="260"/>
      <c r="VVG15" s="260"/>
      <c r="VVH15" s="260"/>
      <c r="VVI15" s="260"/>
      <c r="VVJ15" s="260"/>
      <c r="VVK15" s="260"/>
      <c r="VVL15" s="260"/>
      <c r="VVM15" s="260"/>
      <c r="VVN15" s="260"/>
      <c r="VVO15" s="260"/>
      <c r="VVP15" s="260"/>
      <c r="VVQ15" s="260"/>
      <c r="VVR15" s="260"/>
      <c r="VVS15" s="260"/>
      <c r="VVT15" s="260"/>
      <c r="VVU15" s="260"/>
      <c r="VVV15" s="260"/>
      <c r="VVW15" s="260"/>
      <c r="VVX15" s="260"/>
      <c r="VVY15" s="260"/>
      <c r="VVZ15" s="260"/>
      <c r="VWA15" s="260"/>
      <c r="VWB15" s="260"/>
      <c r="VWC15" s="260"/>
      <c r="VWD15" s="260"/>
      <c r="VWE15" s="260"/>
      <c r="VWF15" s="260"/>
      <c r="VWG15" s="260"/>
      <c r="VWH15" s="260"/>
      <c r="VWI15" s="260"/>
      <c r="VWJ15" s="260"/>
      <c r="VWK15" s="260"/>
      <c r="VWL15" s="260"/>
      <c r="VWM15" s="260"/>
      <c r="VWN15" s="260"/>
      <c r="VWO15" s="260"/>
      <c r="VWP15" s="260"/>
      <c r="VWQ15" s="260"/>
      <c r="VWR15" s="260"/>
      <c r="VWS15" s="260"/>
      <c r="VWT15" s="260"/>
      <c r="VWU15" s="260"/>
      <c r="VWV15" s="260"/>
      <c r="VWW15" s="260"/>
      <c r="VWX15" s="260"/>
      <c r="VWY15" s="260"/>
      <c r="VWZ15" s="260"/>
      <c r="VXA15" s="260"/>
      <c r="VXB15" s="260"/>
      <c r="VXC15" s="260"/>
      <c r="VXD15" s="260"/>
      <c r="VXE15" s="260"/>
      <c r="VXF15" s="260"/>
      <c r="VXG15" s="260"/>
      <c r="VXH15" s="260"/>
      <c r="VXI15" s="260"/>
      <c r="VXJ15" s="260"/>
      <c r="VXK15" s="260"/>
      <c r="VXL15" s="260"/>
      <c r="VXM15" s="260"/>
      <c r="VXN15" s="260"/>
      <c r="VXO15" s="260"/>
      <c r="VXP15" s="260"/>
      <c r="VXQ15" s="260"/>
      <c r="VXR15" s="260"/>
      <c r="VXS15" s="260"/>
      <c r="VXT15" s="260"/>
      <c r="VXU15" s="260"/>
      <c r="VXV15" s="260"/>
      <c r="VXW15" s="260"/>
      <c r="VXX15" s="260"/>
      <c r="VXY15" s="260"/>
      <c r="VXZ15" s="260"/>
      <c r="VYA15" s="260"/>
      <c r="VYB15" s="260"/>
      <c r="VYC15" s="260"/>
      <c r="VYD15" s="260"/>
      <c r="VYE15" s="260"/>
      <c r="VYF15" s="260"/>
      <c r="VYG15" s="260"/>
      <c r="VYH15" s="260"/>
      <c r="VYI15" s="260"/>
      <c r="VYJ15" s="260"/>
      <c r="VYK15" s="260"/>
      <c r="VYL15" s="260"/>
      <c r="VYM15" s="260"/>
      <c r="VYN15" s="260"/>
      <c r="VYO15" s="260"/>
      <c r="VYP15" s="260"/>
      <c r="VYQ15" s="260"/>
      <c r="VYR15" s="260"/>
      <c r="VYS15" s="260"/>
      <c r="VYT15" s="260"/>
      <c r="VYU15" s="260"/>
      <c r="VYV15" s="260"/>
      <c r="VYW15" s="260"/>
      <c r="VYX15" s="260"/>
      <c r="VYY15" s="260"/>
      <c r="VYZ15" s="260"/>
      <c r="VZA15" s="260"/>
      <c r="VZB15" s="260"/>
      <c r="VZC15" s="260"/>
      <c r="VZD15" s="260"/>
      <c r="VZE15" s="260"/>
      <c r="VZF15" s="260"/>
      <c r="VZG15" s="260"/>
      <c r="VZH15" s="260"/>
      <c r="VZI15" s="260"/>
      <c r="VZJ15" s="260"/>
      <c r="VZK15" s="260"/>
      <c r="VZL15" s="260"/>
      <c r="VZM15" s="260"/>
      <c r="VZN15" s="260"/>
      <c r="VZO15" s="260"/>
      <c r="VZP15" s="260"/>
      <c r="VZQ15" s="260"/>
      <c r="VZR15" s="260"/>
      <c r="VZS15" s="260"/>
      <c r="VZT15" s="260"/>
      <c r="VZU15" s="260"/>
      <c r="VZV15" s="260"/>
      <c r="VZW15" s="260"/>
      <c r="VZX15" s="260"/>
      <c r="VZY15" s="260"/>
      <c r="VZZ15" s="260"/>
      <c r="WAA15" s="260"/>
      <c r="WAB15" s="260"/>
      <c r="WAC15" s="260"/>
      <c r="WAD15" s="260"/>
      <c r="WAE15" s="260"/>
      <c r="WAF15" s="260"/>
      <c r="WAG15" s="260"/>
      <c r="WAH15" s="260"/>
      <c r="WAI15" s="260"/>
      <c r="WAJ15" s="260"/>
      <c r="WAK15" s="260"/>
      <c r="WAL15" s="260"/>
      <c r="WAM15" s="260"/>
      <c r="WAN15" s="260"/>
      <c r="WAO15" s="260"/>
      <c r="WAP15" s="260"/>
      <c r="WAQ15" s="260"/>
      <c r="WAR15" s="260"/>
      <c r="WAS15" s="260"/>
      <c r="WAT15" s="260"/>
      <c r="WAU15" s="260"/>
      <c r="WAV15" s="260"/>
      <c r="WAW15" s="260"/>
      <c r="WAX15" s="260"/>
      <c r="WAY15" s="260"/>
      <c r="WAZ15" s="260"/>
      <c r="WBA15" s="260"/>
      <c r="WBB15" s="260"/>
      <c r="WBC15" s="260"/>
      <c r="WBD15" s="260"/>
      <c r="WBE15" s="260"/>
      <c r="WBF15" s="260"/>
      <c r="WBG15" s="260"/>
      <c r="WBH15" s="260"/>
      <c r="WBI15" s="260"/>
      <c r="WBJ15" s="260"/>
      <c r="WBK15" s="260"/>
      <c r="WBL15" s="260"/>
      <c r="WBM15" s="260"/>
      <c r="WBN15" s="260"/>
      <c r="WBO15" s="260"/>
      <c r="WBP15" s="260"/>
      <c r="WBQ15" s="260"/>
      <c r="WBR15" s="260"/>
      <c r="WBS15" s="260"/>
      <c r="WBT15" s="260"/>
      <c r="WBU15" s="260"/>
      <c r="WBV15" s="260"/>
      <c r="WBW15" s="260"/>
      <c r="WBX15" s="260"/>
      <c r="WBY15" s="260"/>
      <c r="WBZ15" s="260"/>
      <c r="WCA15" s="260"/>
      <c r="WCB15" s="260"/>
      <c r="WCC15" s="260"/>
      <c r="WCD15" s="260"/>
      <c r="WCE15" s="260"/>
      <c r="WCF15" s="260"/>
      <c r="WCG15" s="260"/>
      <c r="WCH15" s="260"/>
      <c r="WCI15" s="260"/>
      <c r="WCJ15" s="260"/>
      <c r="WCK15" s="260"/>
      <c r="WCL15" s="260"/>
      <c r="WCM15" s="260"/>
      <c r="WCN15" s="260"/>
      <c r="WCO15" s="260"/>
      <c r="WCP15" s="260"/>
      <c r="WCQ15" s="260"/>
      <c r="WCR15" s="260"/>
      <c r="WCS15" s="260"/>
      <c r="WCT15" s="260"/>
      <c r="WCU15" s="260"/>
      <c r="WCV15" s="260"/>
      <c r="WCW15" s="260"/>
      <c r="WCX15" s="260"/>
      <c r="WCY15" s="260"/>
      <c r="WCZ15" s="260"/>
      <c r="WDA15" s="260"/>
      <c r="WDB15" s="260"/>
      <c r="WDC15" s="260"/>
      <c r="WDD15" s="260"/>
      <c r="WDE15" s="260"/>
      <c r="WDF15" s="260"/>
      <c r="WDG15" s="260"/>
      <c r="WDH15" s="260"/>
      <c r="WDI15" s="260"/>
      <c r="WDJ15" s="260"/>
      <c r="WDK15" s="260"/>
      <c r="WDL15" s="260"/>
      <c r="WDM15" s="260"/>
      <c r="WDN15" s="260"/>
      <c r="WDO15" s="260"/>
      <c r="WDP15" s="260"/>
      <c r="WDQ15" s="260"/>
      <c r="WDR15" s="260"/>
      <c r="WDS15" s="260"/>
      <c r="WDT15" s="260"/>
      <c r="WDU15" s="260"/>
      <c r="WDV15" s="260"/>
      <c r="WDW15" s="260"/>
      <c r="WDX15" s="260"/>
      <c r="WDY15" s="260"/>
      <c r="WDZ15" s="260"/>
      <c r="WEA15" s="260"/>
      <c r="WEB15" s="260"/>
      <c r="WEC15" s="260"/>
      <c r="WED15" s="260"/>
      <c r="WEE15" s="260"/>
      <c r="WEF15" s="260"/>
      <c r="WEG15" s="260"/>
      <c r="WEH15" s="260"/>
      <c r="WEI15" s="260"/>
      <c r="WEJ15" s="260"/>
      <c r="WEK15" s="260"/>
      <c r="WEL15" s="260"/>
      <c r="WEM15" s="260"/>
      <c r="WEN15" s="260"/>
      <c r="WEO15" s="260"/>
      <c r="WEP15" s="260"/>
      <c r="WEQ15" s="260"/>
      <c r="WER15" s="260"/>
      <c r="WES15" s="260"/>
      <c r="WET15" s="260"/>
      <c r="WEU15" s="260"/>
      <c r="WEV15" s="260"/>
      <c r="WEW15" s="260"/>
      <c r="WEX15" s="260"/>
      <c r="WEY15" s="260"/>
      <c r="WEZ15" s="260"/>
      <c r="WFA15" s="260"/>
      <c r="WFB15" s="260"/>
      <c r="WFC15" s="260"/>
      <c r="WFD15" s="260"/>
      <c r="WFE15" s="260"/>
      <c r="WFF15" s="260"/>
      <c r="WFG15" s="260"/>
      <c r="WFH15" s="260"/>
      <c r="WFI15" s="260"/>
      <c r="WFJ15" s="260"/>
      <c r="WFK15" s="260"/>
      <c r="WFL15" s="260"/>
      <c r="WFM15" s="260"/>
      <c r="WFN15" s="260"/>
      <c r="WFO15" s="260"/>
      <c r="WFP15" s="260"/>
      <c r="WFQ15" s="260"/>
      <c r="WFR15" s="260"/>
      <c r="WFS15" s="260"/>
      <c r="WFT15" s="260"/>
      <c r="WFU15" s="260"/>
      <c r="WFV15" s="260"/>
      <c r="WFW15" s="260"/>
      <c r="WFX15" s="260"/>
      <c r="WFY15" s="260"/>
      <c r="WFZ15" s="260"/>
      <c r="WGA15" s="260"/>
      <c r="WGB15" s="260"/>
      <c r="WGC15" s="260"/>
      <c r="WGD15" s="260"/>
      <c r="WGE15" s="260"/>
      <c r="WGF15" s="260"/>
      <c r="WGG15" s="260"/>
      <c r="WGH15" s="260"/>
      <c r="WGI15" s="260"/>
      <c r="WGJ15" s="260"/>
      <c r="WGK15" s="260"/>
      <c r="WGL15" s="260"/>
      <c r="WGM15" s="260"/>
      <c r="WGN15" s="260"/>
      <c r="WGO15" s="260"/>
      <c r="WGP15" s="260"/>
      <c r="WGQ15" s="260"/>
      <c r="WGR15" s="260"/>
      <c r="WGS15" s="260"/>
      <c r="WGT15" s="260"/>
      <c r="WGU15" s="260"/>
      <c r="WGV15" s="260"/>
      <c r="WGW15" s="260"/>
      <c r="WGX15" s="260"/>
      <c r="WGY15" s="260"/>
      <c r="WGZ15" s="260"/>
      <c r="WHA15" s="260"/>
      <c r="WHB15" s="260"/>
      <c r="WHC15" s="260"/>
      <c r="WHD15" s="260"/>
      <c r="WHE15" s="260"/>
      <c r="WHF15" s="260"/>
      <c r="WHG15" s="260"/>
      <c r="WHH15" s="260"/>
      <c r="WHI15" s="260"/>
      <c r="WHJ15" s="260"/>
      <c r="WHK15" s="260"/>
      <c r="WHL15" s="260"/>
      <c r="WHM15" s="260"/>
      <c r="WHN15" s="260"/>
      <c r="WHO15" s="260"/>
      <c r="WHP15" s="260"/>
      <c r="WHQ15" s="260"/>
      <c r="WHR15" s="260"/>
      <c r="WHS15" s="260"/>
      <c r="WHT15" s="260"/>
      <c r="WHU15" s="260"/>
      <c r="WHV15" s="260"/>
      <c r="WHW15" s="260"/>
      <c r="WHX15" s="260"/>
      <c r="WHY15" s="260"/>
      <c r="WHZ15" s="260"/>
      <c r="WIA15" s="260"/>
      <c r="WIB15" s="260"/>
      <c r="WIC15" s="260"/>
      <c r="WID15" s="260"/>
      <c r="WIE15" s="260"/>
      <c r="WIF15" s="260"/>
      <c r="WIG15" s="260"/>
      <c r="WIH15" s="260"/>
      <c r="WII15" s="260"/>
      <c r="WIJ15" s="260"/>
      <c r="WIK15" s="260"/>
      <c r="WIL15" s="260"/>
      <c r="WIM15" s="260"/>
      <c r="WIN15" s="260"/>
      <c r="WIO15" s="260"/>
      <c r="WIP15" s="260"/>
      <c r="WIQ15" s="260"/>
      <c r="WIR15" s="260"/>
      <c r="WIS15" s="260"/>
      <c r="WIT15" s="260"/>
      <c r="WIU15" s="260"/>
      <c r="WIV15" s="260"/>
      <c r="WIW15" s="260"/>
      <c r="WIX15" s="260"/>
      <c r="WIY15" s="260"/>
      <c r="WIZ15" s="260"/>
      <c r="WJA15" s="260"/>
      <c r="WJB15" s="260"/>
      <c r="WJC15" s="260"/>
      <c r="WJD15" s="260"/>
      <c r="WJE15" s="260"/>
      <c r="WJF15" s="260"/>
      <c r="WJG15" s="260"/>
      <c r="WJH15" s="260"/>
      <c r="WJI15" s="260"/>
      <c r="WJJ15" s="260"/>
      <c r="WJK15" s="260"/>
      <c r="WJL15" s="260"/>
      <c r="WJM15" s="260"/>
      <c r="WJN15" s="260"/>
      <c r="WJO15" s="260"/>
      <c r="WJP15" s="260"/>
      <c r="WJQ15" s="260"/>
      <c r="WJR15" s="260"/>
      <c r="WJS15" s="260"/>
      <c r="WJT15" s="260"/>
      <c r="WJU15" s="260"/>
      <c r="WJV15" s="260"/>
      <c r="WJW15" s="260"/>
      <c r="WJX15" s="260"/>
      <c r="WJY15" s="260"/>
      <c r="WJZ15" s="260"/>
      <c r="WKA15" s="260"/>
      <c r="WKB15" s="260"/>
      <c r="WKC15" s="260"/>
      <c r="WKD15" s="260"/>
      <c r="WKE15" s="260"/>
      <c r="WKF15" s="260"/>
      <c r="WKG15" s="260"/>
      <c r="WKH15" s="260"/>
      <c r="WKI15" s="260"/>
      <c r="WKJ15" s="260"/>
      <c r="WKK15" s="260"/>
      <c r="WKL15" s="260"/>
      <c r="WKM15" s="260"/>
      <c r="WKN15" s="260"/>
      <c r="WKO15" s="260"/>
      <c r="WKP15" s="260"/>
      <c r="WKQ15" s="260"/>
      <c r="WKR15" s="260"/>
      <c r="WKS15" s="260"/>
      <c r="WKT15" s="260"/>
      <c r="WKU15" s="260"/>
      <c r="WKV15" s="260"/>
      <c r="WKW15" s="260"/>
      <c r="WKX15" s="260"/>
      <c r="WKY15" s="260"/>
      <c r="WKZ15" s="260"/>
      <c r="WLA15" s="260"/>
      <c r="WLB15" s="260"/>
      <c r="WLC15" s="260"/>
      <c r="WLD15" s="260"/>
      <c r="WLE15" s="260"/>
      <c r="WLF15" s="260"/>
      <c r="WLG15" s="260"/>
      <c r="WLH15" s="260"/>
      <c r="WLI15" s="260"/>
      <c r="WLJ15" s="260"/>
      <c r="WLK15" s="260"/>
      <c r="WLL15" s="260"/>
      <c r="WLM15" s="260"/>
      <c r="WLN15" s="260"/>
      <c r="WLO15" s="260"/>
      <c r="WLP15" s="260"/>
      <c r="WLQ15" s="260"/>
      <c r="WLR15" s="260"/>
      <c r="WLS15" s="260"/>
      <c r="WLT15" s="260"/>
      <c r="WLU15" s="260"/>
      <c r="WLV15" s="260"/>
      <c r="WLW15" s="260"/>
      <c r="WLX15" s="260"/>
      <c r="WLY15" s="260"/>
      <c r="WLZ15" s="260"/>
      <c r="WMA15" s="260"/>
      <c r="WMB15" s="260"/>
      <c r="WMC15" s="260"/>
      <c r="WMD15" s="260"/>
      <c r="WME15" s="260"/>
      <c r="WMF15" s="260"/>
      <c r="WMG15" s="260"/>
      <c r="WMH15" s="260"/>
      <c r="WMI15" s="260"/>
      <c r="WMJ15" s="260"/>
      <c r="WMK15" s="260"/>
      <c r="WML15" s="260"/>
      <c r="WMM15" s="260"/>
      <c r="WMN15" s="260"/>
      <c r="WMO15" s="260"/>
      <c r="WMP15" s="260"/>
      <c r="WMQ15" s="260"/>
      <c r="WMR15" s="260"/>
      <c r="WMS15" s="260"/>
      <c r="WMT15" s="260"/>
      <c r="WMU15" s="260"/>
      <c r="WMV15" s="260"/>
      <c r="WMW15" s="260"/>
      <c r="WMX15" s="260"/>
      <c r="WMY15" s="260"/>
      <c r="WMZ15" s="260"/>
      <c r="WNA15" s="260"/>
      <c r="WNB15" s="260"/>
      <c r="WNC15" s="260"/>
      <c r="WND15" s="260"/>
      <c r="WNE15" s="260"/>
      <c r="WNF15" s="260"/>
      <c r="WNG15" s="260"/>
      <c r="WNH15" s="260"/>
      <c r="WNI15" s="260"/>
      <c r="WNJ15" s="260"/>
      <c r="WNK15" s="260"/>
      <c r="WNL15" s="260"/>
      <c r="WNM15" s="260"/>
      <c r="WNN15" s="260"/>
      <c r="WNO15" s="260"/>
      <c r="WNP15" s="260"/>
      <c r="WNQ15" s="260"/>
      <c r="WNR15" s="260"/>
      <c r="WNS15" s="260"/>
      <c r="WNT15" s="260"/>
      <c r="WNU15" s="260"/>
      <c r="WNV15" s="260"/>
      <c r="WNW15" s="260"/>
      <c r="WNX15" s="260"/>
      <c r="WNY15" s="260"/>
      <c r="WNZ15" s="260"/>
      <c r="WOA15" s="260"/>
      <c r="WOB15" s="260"/>
      <c r="WOC15" s="260"/>
      <c r="WOD15" s="260"/>
      <c r="WOE15" s="260"/>
      <c r="WOF15" s="260"/>
      <c r="WOG15" s="260"/>
      <c r="WOH15" s="260"/>
      <c r="WOI15" s="260"/>
      <c r="WOJ15" s="260"/>
      <c r="WOK15" s="260"/>
      <c r="WOL15" s="260"/>
      <c r="WOM15" s="260"/>
      <c r="WON15" s="260"/>
      <c r="WOO15" s="260"/>
      <c r="WOP15" s="260"/>
      <c r="WOQ15" s="260"/>
      <c r="WOR15" s="260"/>
      <c r="WOS15" s="260"/>
      <c r="WOT15" s="260"/>
      <c r="WOU15" s="260"/>
      <c r="WOV15" s="260"/>
      <c r="WOW15" s="260"/>
      <c r="WOX15" s="260"/>
      <c r="WOY15" s="260"/>
      <c r="WOZ15" s="260"/>
      <c r="WPA15" s="260"/>
      <c r="WPB15" s="260"/>
      <c r="WPC15" s="260"/>
      <c r="WPD15" s="260"/>
      <c r="WPE15" s="260"/>
      <c r="WPF15" s="260"/>
      <c r="WPG15" s="260"/>
      <c r="WPH15" s="260"/>
      <c r="WPI15" s="260"/>
      <c r="WPJ15" s="260"/>
      <c r="WPK15" s="260"/>
      <c r="WPL15" s="260"/>
      <c r="WPM15" s="260"/>
      <c r="WPN15" s="260"/>
      <c r="WPO15" s="260"/>
      <c r="WPP15" s="260"/>
      <c r="WPQ15" s="260"/>
      <c r="WPR15" s="260"/>
      <c r="WPS15" s="260"/>
      <c r="WPT15" s="260"/>
      <c r="WPU15" s="260"/>
      <c r="WPV15" s="260"/>
      <c r="WPW15" s="260"/>
      <c r="WPX15" s="260"/>
      <c r="WPY15" s="260"/>
      <c r="WPZ15" s="260"/>
      <c r="WQA15" s="260"/>
      <c r="WQB15" s="260"/>
      <c r="WQC15" s="260"/>
      <c r="WQD15" s="260"/>
      <c r="WQE15" s="260"/>
      <c r="WQF15" s="260"/>
      <c r="WQG15" s="260"/>
      <c r="WQH15" s="260"/>
      <c r="WQI15" s="260"/>
      <c r="WQJ15" s="260"/>
      <c r="WQK15" s="260"/>
      <c r="WQL15" s="260"/>
      <c r="WQM15" s="260"/>
      <c r="WQN15" s="260"/>
      <c r="WQO15" s="260"/>
      <c r="WQP15" s="260"/>
      <c r="WQQ15" s="260"/>
      <c r="WQR15" s="260"/>
      <c r="WQS15" s="260"/>
      <c r="WQT15" s="260"/>
      <c r="WQU15" s="260"/>
      <c r="WQV15" s="260"/>
      <c r="WQW15" s="260"/>
      <c r="WQX15" s="260"/>
      <c r="WQY15" s="260"/>
      <c r="WQZ15" s="260"/>
      <c r="WRA15" s="260"/>
      <c r="WRB15" s="260"/>
      <c r="WRC15" s="260"/>
      <c r="WRD15" s="260"/>
      <c r="WRE15" s="260"/>
      <c r="WRF15" s="260"/>
      <c r="WRG15" s="260"/>
      <c r="WRH15" s="260"/>
      <c r="WRI15" s="260"/>
      <c r="WRJ15" s="260"/>
      <c r="WRK15" s="260"/>
      <c r="WRL15" s="260"/>
      <c r="WRM15" s="260"/>
      <c r="WRN15" s="260"/>
      <c r="WRO15" s="260"/>
      <c r="WRP15" s="260"/>
      <c r="WRQ15" s="260"/>
      <c r="WRR15" s="260"/>
      <c r="WRS15" s="260"/>
      <c r="WRT15" s="260"/>
      <c r="WRU15" s="260"/>
      <c r="WRV15" s="260"/>
      <c r="WRW15" s="260"/>
      <c r="WRX15" s="260"/>
      <c r="WRY15" s="260"/>
      <c r="WRZ15" s="260"/>
      <c r="WSA15" s="260"/>
      <c r="WSB15" s="260"/>
      <c r="WSC15" s="260"/>
      <c r="WSD15" s="260"/>
      <c r="WSE15" s="260"/>
      <c r="WSF15" s="260"/>
      <c r="WSG15" s="260"/>
      <c r="WSH15" s="260"/>
      <c r="WSI15" s="260"/>
      <c r="WSJ15" s="260"/>
      <c r="WSK15" s="260"/>
      <c r="WSL15" s="260"/>
      <c r="WSM15" s="260"/>
      <c r="WSN15" s="260"/>
      <c r="WSO15" s="260"/>
      <c r="WSP15" s="260"/>
      <c r="WSQ15" s="260"/>
      <c r="WSR15" s="260"/>
      <c r="WSS15" s="260"/>
      <c r="WST15" s="260"/>
      <c r="WSU15" s="260"/>
      <c r="WSV15" s="260"/>
      <c r="WSW15" s="260"/>
      <c r="WSX15" s="260"/>
      <c r="WSY15" s="260"/>
      <c r="WSZ15" s="260"/>
      <c r="WTA15" s="260"/>
      <c r="WTB15" s="260"/>
      <c r="WTC15" s="260"/>
      <c r="WTD15" s="260"/>
      <c r="WTE15" s="260"/>
      <c r="WTF15" s="260"/>
      <c r="WTG15" s="260"/>
      <c r="WTH15" s="260"/>
      <c r="WTI15" s="260"/>
      <c r="WTJ15" s="260"/>
      <c r="WTK15" s="260"/>
      <c r="WTL15" s="260"/>
      <c r="WTM15" s="260"/>
      <c r="WTN15" s="260"/>
      <c r="WTO15" s="260"/>
      <c r="WTP15" s="260"/>
      <c r="WTQ15" s="260"/>
      <c r="WTR15" s="260"/>
      <c r="WTS15" s="260"/>
      <c r="WTT15" s="260"/>
      <c r="WTU15" s="260"/>
      <c r="WTV15" s="260"/>
      <c r="WTW15" s="260"/>
      <c r="WTX15" s="260"/>
      <c r="WTY15" s="260"/>
      <c r="WTZ15" s="260"/>
      <c r="WUA15" s="260"/>
      <c r="WUB15" s="260"/>
      <c r="WUC15" s="260"/>
      <c r="WUD15" s="260"/>
      <c r="WUE15" s="260"/>
      <c r="WUF15" s="260"/>
      <c r="WUG15" s="260"/>
      <c r="WUH15" s="260"/>
      <c r="WUI15" s="260"/>
      <c r="WUJ15" s="260"/>
      <c r="WUK15" s="260"/>
      <c r="WUL15" s="260"/>
      <c r="WUM15" s="260"/>
      <c r="WUN15" s="260"/>
      <c r="WUO15" s="260"/>
      <c r="WUP15" s="260"/>
      <c r="WUQ15" s="260"/>
      <c r="WUR15" s="260"/>
      <c r="WUS15" s="260"/>
      <c r="WUT15" s="260"/>
      <c r="WUU15" s="260"/>
      <c r="WUV15" s="260"/>
      <c r="WUW15" s="260"/>
      <c r="WUX15" s="260"/>
      <c r="WUY15" s="260"/>
      <c r="WUZ15" s="260"/>
      <c r="WVA15" s="260"/>
      <c r="WVB15" s="260"/>
      <c r="WVC15" s="260"/>
      <c r="WVD15" s="260"/>
      <c r="WVE15" s="260"/>
      <c r="WVF15" s="260"/>
      <c r="WVG15" s="260"/>
      <c r="WVH15" s="260"/>
      <c r="WVI15" s="260"/>
      <c r="WVJ15" s="260"/>
      <c r="WVK15" s="260"/>
      <c r="WVL15" s="260"/>
      <c r="WVM15" s="260"/>
      <c r="WVN15" s="260"/>
      <c r="WVO15" s="260"/>
      <c r="WVP15" s="260"/>
      <c r="WVQ15" s="260"/>
      <c r="WVR15" s="260"/>
      <c r="WVS15" s="260"/>
      <c r="WVT15" s="260"/>
      <c r="WVU15" s="260"/>
      <c r="WVV15" s="260"/>
      <c r="WVW15" s="260"/>
      <c r="WVX15" s="260"/>
      <c r="WVY15" s="260"/>
      <c r="WVZ15" s="260"/>
      <c r="WWA15" s="260"/>
      <c r="WWB15" s="260"/>
      <c r="WWC15" s="260"/>
      <c r="WWD15" s="260"/>
      <c r="WWE15" s="260"/>
      <c r="WWF15" s="260"/>
      <c r="WWG15" s="260"/>
      <c r="WWH15" s="260"/>
      <c r="WWI15" s="260"/>
      <c r="WWJ15" s="260"/>
      <c r="WWK15" s="260"/>
      <c r="WWL15" s="260"/>
      <c r="WWM15" s="260"/>
      <c r="WWN15" s="260"/>
      <c r="WWO15" s="260"/>
      <c r="WWP15" s="260"/>
      <c r="WWQ15" s="260"/>
      <c r="WWR15" s="260"/>
      <c r="WWS15" s="260"/>
      <c r="WWT15" s="260"/>
      <c r="WWU15" s="260"/>
      <c r="WWV15" s="260"/>
      <c r="WWW15" s="260"/>
      <c r="WWX15" s="260"/>
      <c r="WWY15" s="260"/>
      <c r="WWZ15" s="260"/>
      <c r="WXA15" s="260"/>
      <c r="WXB15" s="260"/>
      <c r="WXC15" s="260"/>
      <c r="WXD15" s="260"/>
      <c r="WXE15" s="260"/>
      <c r="WXF15" s="260"/>
      <c r="WXG15" s="260"/>
      <c r="WXH15" s="260"/>
      <c r="WXI15" s="260"/>
      <c r="WXJ15" s="260"/>
      <c r="WXK15" s="260"/>
      <c r="WXL15" s="260"/>
      <c r="WXM15" s="260"/>
      <c r="WXN15" s="260"/>
      <c r="WXO15" s="260"/>
      <c r="WXP15" s="260"/>
      <c r="WXQ15" s="260"/>
      <c r="WXR15" s="260"/>
      <c r="WXS15" s="260"/>
      <c r="WXT15" s="260"/>
      <c r="WXU15" s="260"/>
      <c r="WXV15" s="260"/>
      <c r="WXW15" s="260"/>
      <c r="WXX15" s="260"/>
      <c r="WXY15" s="260"/>
      <c r="WXZ15" s="260"/>
      <c r="WYA15" s="260"/>
      <c r="WYB15" s="260"/>
      <c r="WYC15" s="260"/>
      <c r="WYD15" s="260"/>
      <c r="WYE15" s="260"/>
      <c r="WYF15" s="260"/>
      <c r="WYG15" s="260"/>
      <c r="WYH15" s="260"/>
      <c r="WYI15" s="260"/>
      <c r="WYJ15" s="260"/>
      <c r="WYK15" s="260"/>
      <c r="WYL15" s="260"/>
      <c r="WYM15" s="260"/>
      <c r="WYN15" s="260"/>
      <c r="WYO15" s="260"/>
      <c r="WYP15" s="260"/>
      <c r="WYQ15" s="260"/>
      <c r="WYR15" s="260"/>
      <c r="WYS15" s="260"/>
      <c r="WYT15" s="260"/>
      <c r="WYU15" s="260"/>
      <c r="WYV15" s="260"/>
      <c r="WYW15" s="260"/>
      <c r="WYX15" s="260"/>
      <c r="WYY15" s="260"/>
      <c r="WYZ15" s="260"/>
      <c r="WZA15" s="260"/>
      <c r="WZB15" s="260"/>
      <c r="WZC15" s="260"/>
      <c r="WZD15" s="260"/>
      <c r="WZE15" s="260"/>
      <c r="WZF15" s="260"/>
      <c r="WZG15" s="260"/>
      <c r="WZH15" s="260"/>
      <c r="WZI15" s="260"/>
      <c r="WZJ15" s="260"/>
      <c r="WZK15" s="260"/>
      <c r="WZL15" s="260"/>
      <c r="WZM15" s="260"/>
      <c r="WZN15" s="260"/>
      <c r="WZO15" s="260"/>
      <c r="WZP15" s="260"/>
      <c r="WZQ15" s="260"/>
      <c r="WZR15" s="260"/>
      <c r="WZS15" s="260"/>
      <c r="WZT15" s="260"/>
      <c r="WZU15" s="260"/>
      <c r="WZV15" s="260"/>
      <c r="WZW15" s="260"/>
      <c r="WZX15" s="260"/>
      <c r="WZY15" s="260"/>
      <c r="WZZ15" s="260"/>
      <c r="XAA15" s="260"/>
      <c r="XAB15" s="260"/>
      <c r="XAC15" s="260"/>
      <c r="XAD15" s="260"/>
      <c r="XAE15" s="260"/>
      <c r="XAF15" s="260"/>
      <c r="XAG15" s="260"/>
      <c r="XAH15" s="260"/>
      <c r="XAI15" s="260"/>
      <c r="XAJ15" s="260"/>
      <c r="XAK15" s="260"/>
      <c r="XAL15" s="260"/>
      <c r="XAM15" s="260"/>
      <c r="XAN15" s="260"/>
      <c r="XAO15" s="260"/>
      <c r="XAP15" s="260"/>
      <c r="XAQ15" s="260"/>
      <c r="XAR15" s="260"/>
      <c r="XAS15" s="260"/>
      <c r="XAT15" s="260"/>
      <c r="XAU15" s="260"/>
      <c r="XAV15" s="260"/>
      <c r="XAW15" s="260"/>
      <c r="XAX15" s="260"/>
      <c r="XAY15" s="260"/>
      <c r="XAZ15" s="260"/>
      <c r="XBA15" s="260"/>
      <c r="XBB15" s="260"/>
      <c r="XBC15" s="260"/>
      <c r="XBD15" s="260"/>
      <c r="XBE15" s="260"/>
      <c r="XBF15" s="260"/>
      <c r="XBG15" s="260"/>
      <c r="XBH15" s="260"/>
      <c r="XBI15" s="260"/>
      <c r="XBJ15" s="260"/>
      <c r="XBK15" s="260"/>
      <c r="XBL15" s="260"/>
      <c r="XBM15" s="260"/>
      <c r="XBN15" s="260"/>
      <c r="XBO15" s="260"/>
      <c r="XBP15" s="260"/>
      <c r="XBQ15" s="260"/>
      <c r="XBR15" s="260"/>
      <c r="XBS15" s="260"/>
      <c r="XBT15" s="260"/>
      <c r="XBU15" s="260"/>
      <c r="XBV15" s="260"/>
      <c r="XBW15" s="260"/>
      <c r="XBX15" s="260"/>
      <c r="XBY15" s="260"/>
      <c r="XBZ15" s="260"/>
      <c r="XCA15" s="260"/>
      <c r="XCB15" s="260"/>
      <c r="XCC15" s="260"/>
      <c r="XCD15" s="260"/>
      <c r="XCE15" s="260"/>
      <c r="XCF15" s="260"/>
      <c r="XCG15" s="260"/>
      <c r="XCH15" s="260"/>
      <c r="XCI15" s="260"/>
      <c r="XCJ15" s="260"/>
      <c r="XCK15" s="260"/>
      <c r="XCL15" s="260"/>
      <c r="XCM15" s="260"/>
      <c r="XCN15" s="260"/>
      <c r="XCO15" s="260"/>
      <c r="XCP15" s="260"/>
      <c r="XCQ15" s="260"/>
      <c r="XCR15" s="260"/>
      <c r="XCS15" s="260"/>
      <c r="XCT15" s="260"/>
      <c r="XCU15" s="260"/>
      <c r="XCV15" s="260"/>
      <c r="XCW15" s="260"/>
      <c r="XCX15" s="260"/>
      <c r="XCY15" s="260"/>
      <c r="XCZ15" s="260"/>
      <c r="XDA15" s="260"/>
      <c r="XDB15" s="260"/>
      <c r="XDC15" s="260"/>
      <c r="XDD15" s="260"/>
      <c r="XDE15" s="260"/>
      <c r="XDF15" s="260"/>
      <c r="XDG15" s="260"/>
      <c r="XDH15" s="260"/>
      <c r="XDI15" s="260"/>
      <c r="XDJ15" s="260"/>
      <c r="XDK15" s="260"/>
      <c r="XDL15" s="260"/>
      <c r="XDM15" s="260"/>
      <c r="XDN15" s="260"/>
      <c r="XDO15" s="260"/>
      <c r="XDP15" s="260"/>
      <c r="XDQ15" s="260"/>
      <c r="XDR15" s="260"/>
      <c r="XDS15" s="260"/>
      <c r="XDT15" s="260"/>
      <c r="XDU15" s="260"/>
      <c r="XDV15" s="260"/>
      <c r="XDW15" s="260"/>
      <c r="XDX15" s="260"/>
      <c r="XDY15" s="260"/>
      <c r="XDZ15" s="260"/>
      <c r="XEA15" s="260"/>
      <c r="XEB15" s="260"/>
      <c r="XEC15" s="260"/>
      <c r="XED15" s="260"/>
      <c r="XEE15" s="260"/>
      <c r="XEF15" s="260"/>
      <c r="XEG15" s="260"/>
      <c r="XEH15" s="260"/>
      <c r="XEI15" s="260"/>
      <c r="XEJ15" s="260"/>
      <c r="XEK15" s="260"/>
      <c r="XEL15" s="260"/>
      <c r="XEM15" s="260"/>
      <c r="XEN15" s="260"/>
      <c r="XEO15" s="260"/>
      <c r="XEP15" s="260"/>
      <c r="XEQ15" s="260"/>
      <c r="XER15" s="260"/>
      <c r="XES15" s="260"/>
      <c r="XET15" s="260"/>
      <c r="XEU15" s="260"/>
      <c r="XEV15" s="260"/>
      <c r="XEW15" s="260"/>
      <c r="XEX15" s="260"/>
    </row>
    <row r="16" spans="1:16378">
      <c r="A16" s="263" t="s">
        <v>1124</v>
      </c>
      <c r="B16" s="264"/>
      <c r="C16" s="266"/>
      <c r="D16" s="264"/>
      <c r="E16" s="264">
        <v>100</v>
      </c>
      <c r="F16" s="264"/>
      <c r="G16" s="266"/>
      <c r="H16" s="266"/>
      <c r="I16" s="268"/>
      <c r="J16" s="266"/>
      <c r="K16" s="266"/>
      <c r="L16" s="266"/>
      <c r="M16" s="266"/>
      <c r="N16" s="266"/>
      <c r="O16" s="266"/>
      <c r="P16" s="265">
        <v>0.88</v>
      </c>
      <c r="Q16" s="264">
        <v>1</v>
      </c>
      <c r="R16" s="264" t="s">
        <v>20</v>
      </c>
      <c r="S16" s="264">
        <v>2006</v>
      </c>
      <c r="T16" s="266" t="s">
        <v>163</v>
      </c>
      <c r="U16" s="267">
        <v>42653</v>
      </c>
      <c r="V16" s="269"/>
      <c r="W16" s="266">
        <f>COUNT(RawMaterials[[#This Row],[Lab Quantity 1]:[Lab Quantity 4]])</f>
        <v>0</v>
      </c>
      <c r="X16" s="266"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 s="266"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 s="266"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 s="266"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 s="266" t="e">
        <f>RawMaterials[[#This Row],[Lab Price 1]]/RawMaterials[[#This Row],[Lab Q Model Units 1]]</f>
        <v>#N/A</v>
      </c>
      <c r="AC16" s="266" t="e">
        <f>RawMaterials[[#This Row],[Lab Price 2]]/RawMaterials[[#This Row],[Lab Q Model Units 2]]</f>
        <v>#N/A</v>
      </c>
      <c r="AD16" s="266" t="e">
        <f>RawMaterials[[#This Row],[Lab Price 3]]/RawMaterials[[#This Row],[Lab Q Model Units 3]]</f>
        <v>#N/A</v>
      </c>
      <c r="AE16" s="266" t="e">
        <f>RawMaterials[[#This Row],[Lab Price 4]]/RawMaterials[[#This Row],[Lab Q Model Units 4]]</f>
        <v>#N/A</v>
      </c>
      <c r="AF16" s="266" t="str">
        <f ca="1">IF(RawMaterials[[#This Row],[Lab Quote Count]]&gt;1,SLOPE(LOG(INDIRECT("RawMaterials[@[Lab Unit P 1]:[Lab Unit P "&amp;RawMaterials[[#This Row],[Lab Quote Count]]&amp;"]]")),LOG(INDIRECT("RawMaterials[@[Lab Q Model Units 1]:[Lab Q Model Units "&amp;RawMaterials[[#This Row],[Lab Quote Count]]&amp;"]]"))),"")</f>
        <v/>
      </c>
      <c r="AG16" s="266" t="str">
        <f ca="1">IF(RawMaterials[[#This Row],[Lab Quote Count]]&gt;1,INTERCEPT(LOG(INDIRECT("RawMaterials[@[Lab Unit P 1]:[Lab Unit P "&amp;RawMaterials[[#This Row],[Lab Quote Count]]&amp;"]]")),LOG(INDIRECT("RawMaterials[@[Lab Q Model Units 1]:[Lab Q Model Units "&amp;RawMaterials[[#This Row],[Lab Quote Count]]&amp;"]]"))),"")</f>
        <v/>
      </c>
      <c r="AH16" s="374" t="str">
        <f>IF(RawMaterials[[#This Row],[Material Type]]="Metal Precursor","D13",IF(RawMaterials[[#This Row],[Material Type]]="Ligand","D13","D12"))</f>
        <v>D12</v>
      </c>
      <c r="AI16" s="262" t="str">
        <f ca="1">IF(RawMaterials[[#This Row],[Lab Quote Count]]&gt;1,10^RawMaterials[[#This Row],[Lab Log-Log Intercept]]*INDIRECT(RawMaterials[[#This Row],[Basis Cell]])^RawMaterials[[#This Row],[Lab Log-Log Slope]],"&gt;&gt;&gt; Enter 2 or more lab quotes &lt;&lt;&lt;")</f>
        <v>&gt;&gt;&gt; Enter 2 or more lab quotes &lt;&lt;&lt;</v>
      </c>
      <c r="AJ16" s="273">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 s="37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6" s="375">
        <f>IF(ISTEXT(RawMaterials[[#This Row],[Unit price in quote year]]),"Check calcs",RawMaterials[[#This Row],[Unit price in quote year]]/VLOOKUP(RawMaterials[[#This Row],[Quote Year]],ChemPPI[],14,FALSE)*VLOOKUP(BasisYear,ChemPPI[],14,FALSE))</f>
        <v>1.1943495934959352</v>
      </c>
      <c r="AM16" s="376" t="str">
        <f t="shared" ref="AM16:AM79" si="0">CurrencySymbol&amp;"/"&amp;OutMassUnit&amp;" ("&amp;BasisYear&amp;")"</f>
        <v>$/lb (2016)</v>
      </c>
    </row>
    <row r="17" spans="1:39">
      <c r="A17" s="263" t="s">
        <v>1125</v>
      </c>
      <c r="B17" s="264"/>
      <c r="C17" s="266"/>
      <c r="D17" s="264"/>
      <c r="E17" s="264">
        <v>100</v>
      </c>
      <c r="F17" s="264"/>
      <c r="G17" s="266"/>
      <c r="H17" s="266"/>
      <c r="I17" s="268"/>
      <c r="J17" s="266"/>
      <c r="K17" s="266"/>
      <c r="L17" s="266"/>
      <c r="M17" s="266"/>
      <c r="N17" s="266"/>
      <c r="O17" s="266"/>
      <c r="P17" s="265">
        <v>0.77500000000000002</v>
      </c>
      <c r="Q17" s="264">
        <v>1</v>
      </c>
      <c r="R17" s="264" t="s">
        <v>20</v>
      </c>
      <c r="S17" s="264">
        <v>2006</v>
      </c>
      <c r="T17" s="266" t="s">
        <v>163</v>
      </c>
      <c r="U17" s="267">
        <v>42653</v>
      </c>
      <c r="V17" s="269"/>
      <c r="W17" s="366">
        <f>COUNT(RawMaterials[[#This Row],[Lab Quantity 1]:[Lab Quantity 4]])</f>
        <v>0</v>
      </c>
      <c r="X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 s="367" t="e">
        <f>RawMaterials[[#This Row],[Lab Price 1]]/RawMaterials[[#This Row],[Lab Q Model Units 1]]</f>
        <v>#N/A</v>
      </c>
      <c r="AC17" s="367" t="e">
        <f>RawMaterials[[#This Row],[Lab Price 2]]/RawMaterials[[#This Row],[Lab Q Model Units 2]]</f>
        <v>#N/A</v>
      </c>
      <c r="AD17" s="367" t="e">
        <f>RawMaterials[[#This Row],[Lab Price 3]]/RawMaterials[[#This Row],[Lab Q Model Units 3]]</f>
        <v>#N/A</v>
      </c>
      <c r="AE17" s="367" t="e">
        <f>RawMaterials[[#This Row],[Lab Price 4]]/RawMaterials[[#This Row],[Lab Q Model Units 4]]</f>
        <v>#N/A</v>
      </c>
      <c r="AF17" s="367" t="str">
        <f ca="1">IF(RawMaterials[[#This Row],[Lab Quote Count]]&gt;1,SLOPE(LOG(INDIRECT("RawMaterials[@[Lab Unit P 1]:[Lab Unit P "&amp;RawMaterials[[#This Row],[Lab Quote Count]]&amp;"]]")),LOG(INDIRECT("RawMaterials[@[Lab Q Model Units 1]:[Lab Q Model Units "&amp;RawMaterials[[#This Row],[Lab Quote Count]]&amp;"]]"))),"")</f>
        <v/>
      </c>
      <c r="AG17" s="367" t="str">
        <f ca="1">IF(RawMaterials[[#This Row],[Lab Quote Count]]&gt;1,INTERCEPT(LOG(INDIRECT("RawMaterials[@[Lab Unit P 1]:[Lab Unit P "&amp;RawMaterials[[#This Row],[Lab Quote Count]]&amp;"]]")),LOG(INDIRECT("RawMaterials[@[Lab Q Model Units 1]:[Lab Q Model Units "&amp;RawMaterials[[#This Row],[Lab Quote Count]]&amp;"]]"))),"")</f>
        <v/>
      </c>
      <c r="AH17" s="368" t="str">
        <f>IF(RawMaterials[[#This Row],[Material Type]]="Metal Precursor","D13",IF(RawMaterials[[#This Row],[Material Type]]="Ligand","D13","D12"))</f>
        <v>D12</v>
      </c>
      <c r="AI17" s="369" t="str">
        <f ca="1">IF(RawMaterials[[#This Row],[Lab Quote Count]]&gt;1,10^RawMaterials[[#This Row],[Lab Log-Log Intercept]]*INDIRECT(RawMaterials[[#This Row],[Basis Cell]])^RawMaterials[[#This Row],[Lab Log-Log Slope]],"&gt;&gt;&gt; Enter 2 or more lab quotes &lt;&lt;&lt;")</f>
        <v>&gt;&gt;&gt; Enter 2 or more lab quotes &lt;&lt;&lt;</v>
      </c>
      <c r="AJ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7" s="372">
        <f>IF(ISTEXT(RawMaterials[[#This Row],[Unit price in quote year]]),"Check calcs",RawMaterials[[#This Row],[Unit price in quote year]]/VLOOKUP(RawMaterials[[#This Row],[Quote Year]],ChemPPI[],14,FALSE)*VLOOKUP(BasisYear,ChemPPI[],14,FALSE))</f>
        <v>1.0518419715447156</v>
      </c>
      <c r="AM17" s="373" t="str">
        <f t="shared" si="0"/>
        <v>$/lb (2016)</v>
      </c>
    </row>
    <row r="18" spans="1:39">
      <c r="A18" s="263" t="s">
        <v>1126</v>
      </c>
      <c r="B18" s="264"/>
      <c r="C18" s="266"/>
      <c r="D18" s="264"/>
      <c r="E18" s="264">
        <v>100</v>
      </c>
      <c r="F18" s="264"/>
      <c r="G18" s="266"/>
      <c r="H18" s="266"/>
      <c r="I18" s="268"/>
      <c r="J18" s="266"/>
      <c r="K18" s="266"/>
      <c r="L18" s="266"/>
      <c r="M18" s="266"/>
      <c r="N18" s="266"/>
      <c r="O18" s="266"/>
      <c r="P18" s="265">
        <v>0.77500000000000002</v>
      </c>
      <c r="Q18" s="264">
        <v>1</v>
      </c>
      <c r="R18" s="264" t="s">
        <v>20</v>
      </c>
      <c r="S18" s="264">
        <v>2006</v>
      </c>
      <c r="T18" s="266" t="s">
        <v>163</v>
      </c>
      <c r="U18" s="267">
        <v>42653</v>
      </c>
      <c r="V18" s="269"/>
      <c r="W18" s="366">
        <f>COUNT(RawMaterials[[#This Row],[Lab Quantity 1]:[Lab Quantity 4]])</f>
        <v>0</v>
      </c>
      <c r="X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 s="367" t="e">
        <f>RawMaterials[[#This Row],[Lab Price 1]]/RawMaterials[[#This Row],[Lab Q Model Units 1]]</f>
        <v>#N/A</v>
      </c>
      <c r="AC18" s="367" t="e">
        <f>RawMaterials[[#This Row],[Lab Price 2]]/RawMaterials[[#This Row],[Lab Q Model Units 2]]</f>
        <v>#N/A</v>
      </c>
      <c r="AD18" s="367" t="e">
        <f>RawMaterials[[#This Row],[Lab Price 3]]/RawMaterials[[#This Row],[Lab Q Model Units 3]]</f>
        <v>#N/A</v>
      </c>
      <c r="AE18" s="367" t="e">
        <f>RawMaterials[[#This Row],[Lab Price 4]]/RawMaterials[[#This Row],[Lab Q Model Units 4]]</f>
        <v>#N/A</v>
      </c>
      <c r="AF18" s="367" t="str">
        <f ca="1">IF(RawMaterials[[#This Row],[Lab Quote Count]]&gt;1,SLOPE(LOG(INDIRECT("RawMaterials[@[Lab Unit P 1]:[Lab Unit P "&amp;RawMaterials[[#This Row],[Lab Quote Count]]&amp;"]]")),LOG(INDIRECT("RawMaterials[@[Lab Q Model Units 1]:[Lab Q Model Units "&amp;RawMaterials[[#This Row],[Lab Quote Count]]&amp;"]]"))),"")</f>
        <v/>
      </c>
      <c r="AG18" s="367" t="str">
        <f ca="1">IF(RawMaterials[[#This Row],[Lab Quote Count]]&gt;1,INTERCEPT(LOG(INDIRECT("RawMaterials[@[Lab Unit P 1]:[Lab Unit P "&amp;RawMaterials[[#This Row],[Lab Quote Count]]&amp;"]]")),LOG(INDIRECT("RawMaterials[@[Lab Q Model Units 1]:[Lab Q Model Units "&amp;RawMaterials[[#This Row],[Lab Quote Count]]&amp;"]]"))),"")</f>
        <v/>
      </c>
      <c r="AH18" s="368" t="str">
        <f>IF(RawMaterials[[#This Row],[Material Type]]="Metal Precursor","D13",IF(RawMaterials[[#This Row],[Material Type]]="Ligand","D13","D12"))</f>
        <v>D12</v>
      </c>
      <c r="AI18" s="369" t="str">
        <f ca="1">IF(RawMaterials[[#This Row],[Lab Quote Count]]&gt;1,10^RawMaterials[[#This Row],[Lab Log-Log Intercept]]*INDIRECT(RawMaterials[[#This Row],[Basis Cell]])^RawMaterials[[#This Row],[Lab Log-Log Slope]],"&gt;&gt;&gt; Enter 2 or more lab quotes &lt;&lt;&lt;")</f>
        <v>&gt;&gt;&gt; Enter 2 or more lab quotes &lt;&lt;&lt;</v>
      </c>
      <c r="AJ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18" s="372">
        <f>IF(ISTEXT(RawMaterials[[#This Row],[Unit price in quote year]]),"Check calcs",RawMaterials[[#This Row],[Unit price in quote year]]/VLOOKUP(RawMaterials[[#This Row],[Quote Year]],ChemPPI[],14,FALSE)*VLOOKUP(BasisYear,ChemPPI[],14,FALSE))</f>
        <v>1.0518419715447156</v>
      </c>
      <c r="AM18" s="373" t="str">
        <f t="shared" si="0"/>
        <v>$/lb (2016)</v>
      </c>
    </row>
    <row r="19" spans="1:39">
      <c r="A19" s="263" t="s">
        <v>1127</v>
      </c>
      <c r="B19" s="264"/>
      <c r="C19" s="266"/>
      <c r="D19" s="264"/>
      <c r="E19" s="264">
        <v>100</v>
      </c>
      <c r="F19" s="264"/>
      <c r="G19" s="266"/>
      <c r="H19" s="266"/>
      <c r="I19" s="268"/>
      <c r="J19" s="266"/>
      <c r="K19" s="266"/>
      <c r="L19" s="266"/>
      <c r="M19" s="266"/>
      <c r="N19" s="266"/>
      <c r="O19" s="266"/>
      <c r="P19" s="265">
        <v>0.63500000000000001</v>
      </c>
      <c r="Q19" s="264">
        <v>1</v>
      </c>
      <c r="R19" s="264" t="s">
        <v>20</v>
      </c>
      <c r="S19" s="264">
        <v>2006</v>
      </c>
      <c r="T19" s="266" t="s">
        <v>163</v>
      </c>
      <c r="U19" s="267">
        <v>42653</v>
      </c>
      <c r="V19" s="269"/>
      <c r="W19" s="366">
        <f>COUNT(RawMaterials[[#This Row],[Lab Quantity 1]:[Lab Quantity 4]])</f>
        <v>0</v>
      </c>
      <c r="X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 s="367" t="e">
        <f>RawMaterials[[#This Row],[Lab Price 1]]/RawMaterials[[#This Row],[Lab Q Model Units 1]]</f>
        <v>#N/A</v>
      </c>
      <c r="AC19" s="367" t="e">
        <f>RawMaterials[[#This Row],[Lab Price 2]]/RawMaterials[[#This Row],[Lab Q Model Units 2]]</f>
        <v>#N/A</v>
      </c>
      <c r="AD19" s="367" t="e">
        <f>RawMaterials[[#This Row],[Lab Price 3]]/RawMaterials[[#This Row],[Lab Q Model Units 3]]</f>
        <v>#N/A</v>
      </c>
      <c r="AE19" s="367" t="e">
        <f>RawMaterials[[#This Row],[Lab Price 4]]/RawMaterials[[#This Row],[Lab Q Model Units 4]]</f>
        <v>#N/A</v>
      </c>
      <c r="AF19" s="367" t="str">
        <f ca="1">IF(RawMaterials[[#This Row],[Lab Quote Count]]&gt;1,SLOPE(LOG(INDIRECT("RawMaterials[@[Lab Unit P 1]:[Lab Unit P "&amp;RawMaterials[[#This Row],[Lab Quote Count]]&amp;"]]")),LOG(INDIRECT("RawMaterials[@[Lab Q Model Units 1]:[Lab Q Model Units "&amp;RawMaterials[[#This Row],[Lab Quote Count]]&amp;"]]"))),"")</f>
        <v/>
      </c>
      <c r="AG19" s="367" t="str">
        <f ca="1">IF(RawMaterials[[#This Row],[Lab Quote Count]]&gt;1,INTERCEPT(LOG(INDIRECT("RawMaterials[@[Lab Unit P 1]:[Lab Unit P "&amp;RawMaterials[[#This Row],[Lab Quote Count]]&amp;"]]")),LOG(INDIRECT("RawMaterials[@[Lab Q Model Units 1]:[Lab Q Model Units "&amp;RawMaterials[[#This Row],[Lab Quote Count]]&amp;"]]"))),"")</f>
        <v/>
      </c>
      <c r="AH19" s="368" t="str">
        <f>IF(RawMaterials[[#This Row],[Material Type]]="Metal Precursor","D13",IF(RawMaterials[[#This Row],[Material Type]]="Ligand","D13","D12"))</f>
        <v>D12</v>
      </c>
      <c r="AI19" s="369" t="str">
        <f ca="1">IF(RawMaterials[[#This Row],[Lab Quote Count]]&gt;1,10^RawMaterials[[#This Row],[Lab Log-Log Intercept]]*INDIRECT(RawMaterials[[#This Row],[Basis Cell]])^RawMaterials[[#This Row],[Lab Log-Log Slope]],"&gt;&gt;&gt; Enter 2 or more lab quotes &lt;&lt;&lt;")</f>
        <v>&gt;&gt;&gt; Enter 2 or more lab quotes &lt;&lt;&lt;</v>
      </c>
      <c r="AJ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19" s="372">
        <f>IF(ISTEXT(RawMaterials[[#This Row],[Unit price in quote year]]),"Check calcs",RawMaterials[[#This Row],[Unit price in quote year]]/VLOOKUP(RawMaterials[[#This Row],[Quote Year]],ChemPPI[],14,FALSE)*VLOOKUP(BasisYear,ChemPPI[],14,FALSE))</f>
        <v>0.86183180894308953</v>
      </c>
      <c r="AM19" s="373" t="str">
        <f t="shared" si="0"/>
        <v>$/lb (2016)</v>
      </c>
    </row>
    <row r="20" spans="1:39">
      <c r="A20" s="263" t="s">
        <v>1128</v>
      </c>
      <c r="B20" s="264"/>
      <c r="C20" s="266"/>
      <c r="D20" s="264"/>
      <c r="E20" s="264">
        <v>100</v>
      </c>
      <c r="F20" s="264"/>
      <c r="G20" s="266"/>
      <c r="H20" s="266"/>
      <c r="I20" s="268"/>
      <c r="J20" s="266"/>
      <c r="K20" s="266"/>
      <c r="L20" s="266"/>
      <c r="M20" s="266"/>
      <c r="N20" s="266"/>
      <c r="O20" s="266"/>
      <c r="P20" s="265">
        <v>0.84499999999999997</v>
      </c>
      <c r="Q20" s="264">
        <v>1</v>
      </c>
      <c r="R20" s="264" t="s">
        <v>20</v>
      </c>
      <c r="S20" s="264">
        <v>2006</v>
      </c>
      <c r="T20" s="266" t="s">
        <v>163</v>
      </c>
      <c r="U20" s="267">
        <v>42653</v>
      </c>
      <c r="V20" s="269"/>
      <c r="W20" s="366">
        <f>COUNT(RawMaterials[[#This Row],[Lab Quantity 1]:[Lab Quantity 4]])</f>
        <v>0</v>
      </c>
      <c r="X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 s="367" t="e">
        <f>RawMaterials[[#This Row],[Lab Price 1]]/RawMaterials[[#This Row],[Lab Q Model Units 1]]</f>
        <v>#N/A</v>
      </c>
      <c r="AC20" s="367" t="e">
        <f>RawMaterials[[#This Row],[Lab Price 2]]/RawMaterials[[#This Row],[Lab Q Model Units 2]]</f>
        <v>#N/A</v>
      </c>
      <c r="AD20" s="367" t="e">
        <f>RawMaterials[[#This Row],[Lab Price 3]]/RawMaterials[[#This Row],[Lab Q Model Units 3]]</f>
        <v>#N/A</v>
      </c>
      <c r="AE20" s="367" t="e">
        <f>RawMaterials[[#This Row],[Lab Price 4]]/RawMaterials[[#This Row],[Lab Q Model Units 4]]</f>
        <v>#N/A</v>
      </c>
      <c r="AF20" s="367" t="str">
        <f ca="1">IF(RawMaterials[[#This Row],[Lab Quote Count]]&gt;1,SLOPE(LOG(INDIRECT("RawMaterials[@[Lab Unit P 1]:[Lab Unit P "&amp;RawMaterials[[#This Row],[Lab Quote Count]]&amp;"]]")),LOG(INDIRECT("RawMaterials[@[Lab Q Model Units 1]:[Lab Q Model Units "&amp;RawMaterials[[#This Row],[Lab Quote Count]]&amp;"]]"))),"")</f>
        <v/>
      </c>
      <c r="AG20" s="367" t="str">
        <f ca="1">IF(RawMaterials[[#This Row],[Lab Quote Count]]&gt;1,INTERCEPT(LOG(INDIRECT("RawMaterials[@[Lab Unit P 1]:[Lab Unit P "&amp;RawMaterials[[#This Row],[Lab Quote Count]]&amp;"]]")),LOG(INDIRECT("RawMaterials[@[Lab Q Model Units 1]:[Lab Q Model Units "&amp;RawMaterials[[#This Row],[Lab Quote Count]]&amp;"]]"))),"")</f>
        <v/>
      </c>
      <c r="AH20" s="368" t="str">
        <f>IF(RawMaterials[[#This Row],[Material Type]]="Metal Precursor","D13",IF(RawMaterials[[#This Row],[Material Type]]="Ligand","D13","D12"))</f>
        <v>D12</v>
      </c>
      <c r="AI20" s="369" t="str">
        <f ca="1">IF(RawMaterials[[#This Row],[Lab Quote Count]]&gt;1,10^RawMaterials[[#This Row],[Lab Log-Log Intercept]]*INDIRECT(RawMaterials[[#This Row],[Basis Cell]])^RawMaterials[[#This Row],[Lab Log-Log Slope]],"&gt;&gt;&gt; Enter 2 or more lab quotes &lt;&lt;&lt;")</f>
        <v>&gt;&gt;&gt; Enter 2 or more lab quotes &lt;&lt;&lt;</v>
      </c>
      <c r="AJ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0" s="372">
        <f>IF(ISTEXT(RawMaterials[[#This Row],[Unit price in quote year]]),"Check calcs",RawMaterials[[#This Row],[Unit price in quote year]]/VLOOKUP(RawMaterials[[#This Row],[Quote Year]],ChemPPI[],14,FALSE)*VLOOKUP(BasisYear,ChemPPI[],14,FALSE))</f>
        <v>1.1468470528455288</v>
      </c>
      <c r="AM20" s="373" t="str">
        <f t="shared" si="0"/>
        <v>$/lb (2016)</v>
      </c>
    </row>
    <row r="21" spans="1:39">
      <c r="A21" s="263" t="s">
        <v>1129</v>
      </c>
      <c r="B21" s="264"/>
      <c r="C21" s="266"/>
      <c r="D21" s="264"/>
      <c r="E21" s="264">
        <v>100</v>
      </c>
      <c r="F21" s="264"/>
      <c r="G21" s="266"/>
      <c r="H21" s="266"/>
      <c r="I21" s="268"/>
      <c r="J21" s="266"/>
      <c r="K21" s="266"/>
      <c r="L21" s="266"/>
      <c r="M21" s="266"/>
      <c r="N21" s="266"/>
      <c r="O21" s="266"/>
      <c r="P21" s="265">
        <v>0.5</v>
      </c>
      <c r="Q21" s="264">
        <v>1</v>
      </c>
      <c r="R21" s="264" t="s">
        <v>20</v>
      </c>
      <c r="S21" s="264">
        <v>2006</v>
      </c>
      <c r="T21" s="266" t="s">
        <v>163</v>
      </c>
      <c r="U21" s="267">
        <v>42653</v>
      </c>
      <c r="V21" s="269"/>
      <c r="W21" s="366">
        <f>COUNT(RawMaterials[[#This Row],[Lab Quantity 1]:[Lab Quantity 4]])</f>
        <v>0</v>
      </c>
      <c r="X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 s="367" t="e">
        <f>RawMaterials[[#This Row],[Lab Price 1]]/RawMaterials[[#This Row],[Lab Q Model Units 1]]</f>
        <v>#N/A</v>
      </c>
      <c r="AC21" s="367" t="e">
        <f>RawMaterials[[#This Row],[Lab Price 2]]/RawMaterials[[#This Row],[Lab Q Model Units 2]]</f>
        <v>#N/A</v>
      </c>
      <c r="AD21" s="367" t="e">
        <f>RawMaterials[[#This Row],[Lab Price 3]]/RawMaterials[[#This Row],[Lab Q Model Units 3]]</f>
        <v>#N/A</v>
      </c>
      <c r="AE21" s="367" t="e">
        <f>RawMaterials[[#This Row],[Lab Price 4]]/RawMaterials[[#This Row],[Lab Q Model Units 4]]</f>
        <v>#N/A</v>
      </c>
      <c r="AF21" s="367" t="str">
        <f ca="1">IF(RawMaterials[[#This Row],[Lab Quote Count]]&gt;1,SLOPE(LOG(INDIRECT("RawMaterials[@[Lab Unit P 1]:[Lab Unit P "&amp;RawMaterials[[#This Row],[Lab Quote Count]]&amp;"]]")),LOG(INDIRECT("RawMaterials[@[Lab Q Model Units 1]:[Lab Q Model Units "&amp;RawMaterials[[#This Row],[Lab Quote Count]]&amp;"]]"))),"")</f>
        <v/>
      </c>
      <c r="AG21" s="367" t="str">
        <f ca="1">IF(RawMaterials[[#This Row],[Lab Quote Count]]&gt;1,INTERCEPT(LOG(INDIRECT("RawMaterials[@[Lab Unit P 1]:[Lab Unit P "&amp;RawMaterials[[#This Row],[Lab Quote Count]]&amp;"]]")),LOG(INDIRECT("RawMaterials[@[Lab Q Model Units 1]:[Lab Q Model Units "&amp;RawMaterials[[#This Row],[Lab Quote Count]]&amp;"]]"))),"")</f>
        <v/>
      </c>
      <c r="AH21" s="368" t="str">
        <f>IF(RawMaterials[[#This Row],[Material Type]]="Metal Precursor","D13",IF(RawMaterials[[#This Row],[Material Type]]="Ligand","D13","D12"))</f>
        <v>D12</v>
      </c>
      <c r="AI21" s="369" t="str">
        <f ca="1">IF(RawMaterials[[#This Row],[Lab Quote Count]]&gt;1,10^RawMaterials[[#This Row],[Lab Log-Log Intercept]]*INDIRECT(RawMaterials[[#This Row],[Basis Cell]])^RawMaterials[[#This Row],[Lab Log-Log Slope]],"&gt;&gt;&gt; Enter 2 or more lab quotes &lt;&lt;&lt;")</f>
        <v>&gt;&gt;&gt; Enter 2 or more lab quotes &lt;&lt;&lt;</v>
      </c>
      <c r="AJ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1" s="372">
        <f>IF(ISTEXT(RawMaterials[[#This Row],[Unit price in quote year]]),"Check calcs",RawMaterials[[#This Row],[Unit price in quote year]]/VLOOKUP(RawMaterials[[#This Row],[Quote Year]],ChemPPI[],14,FALSE)*VLOOKUP(BasisYear,ChemPPI[],14,FALSE))</f>
        <v>0.67860772357723598</v>
      </c>
      <c r="AM21" s="373" t="str">
        <f t="shared" si="0"/>
        <v>$/lb (2016)</v>
      </c>
    </row>
    <row r="22" spans="1:39">
      <c r="A22" s="263" t="s">
        <v>1130</v>
      </c>
      <c r="B22" s="264"/>
      <c r="C22" s="266"/>
      <c r="D22" s="264"/>
      <c r="E22" s="264">
        <v>100</v>
      </c>
      <c r="F22" s="264"/>
      <c r="G22" s="266"/>
      <c r="H22" s="266"/>
      <c r="I22" s="268"/>
      <c r="J22" s="266"/>
      <c r="K22" s="266"/>
      <c r="L22" s="266"/>
      <c r="M22" s="266"/>
      <c r="N22" s="266"/>
      <c r="O22" s="266"/>
      <c r="P22" s="265">
        <v>0.45500000000000002</v>
      </c>
      <c r="Q22" s="264">
        <v>1</v>
      </c>
      <c r="R22" s="264" t="s">
        <v>20</v>
      </c>
      <c r="S22" s="264">
        <v>2006</v>
      </c>
      <c r="T22" s="266" t="s">
        <v>163</v>
      </c>
      <c r="U22" s="267">
        <v>42653</v>
      </c>
      <c r="V22" s="269"/>
      <c r="W22" s="366">
        <f>COUNT(RawMaterials[[#This Row],[Lab Quantity 1]:[Lab Quantity 4]])</f>
        <v>0</v>
      </c>
      <c r="X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 s="367" t="e">
        <f>RawMaterials[[#This Row],[Lab Price 1]]/RawMaterials[[#This Row],[Lab Q Model Units 1]]</f>
        <v>#N/A</v>
      </c>
      <c r="AC22" s="367" t="e">
        <f>RawMaterials[[#This Row],[Lab Price 2]]/RawMaterials[[#This Row],[Lab Q Model Units 2]]</f>
        <v>#N/A</v>
      </c>
      <c r="AD22" s="367" t="e">
        <f>RawMaterials[[#This Row],[Lab Price 3]]/RawMaterials[[#This Row],[Lab Q Model Units 3]]</f>
        <v>#N/A</v>
      </c>
      <c r="AE22" s="367" t="e">
        <f>RawMaterials[[#This Row],[Lab Price 4]]/RawMaterials[[#This Row],[Lab Q Model Units 4]]</f>
        <v>#N/A</v>
      </c>
      <c r="AF22" s="367" t="str">
        <f ca="1">IF(RawMaterials[[#This Row],[Lab Quote Count]]&gt;1,SLOPE(LOG(INDIRECT("RawMaterials[@[Lab Unit P 1]:[Lab Unit P "&amp;RawMaterials[[#This Row],[Lab Quote Count]]&amp;"]]")),LOG(INDIRECT("RawMaterials[@[Lab Q Model Units 1]:[Lab Q Model Units "&amp;RawMaterials[[#This Row],[Lab Quote Count]]&amp;"]]"))),"")</f>
        <v/>
      </c>
      <c r="AG22" s="367" t="str">
        <f ca="1">IF(RawMaterials[[#This Row],[Lab Quote Count]]&gt;1,INTERCEPT(LOG(INDIRECT("RawMaterials[@[Lab Unit P 1]:[Lab Unit P "&amp;RawMaterials[[#This Row],[Lab Quote Count]]&amp;"]]")),LOG(INDIRECT("RawMaterials[@[Lab Q Model Units 1]:[Lab Q Model Units "&amp;RawMaterials[[#This Row],[Lab Quote Count]]&amp;"]]"))),"")</f>
        <v/>
      </c>
      <c r="AH22" s="368" t="str">
        <f>IF(RawMaterials[[#This Row],[Material Type]]="Metal Precursor","D13",IF(RawMaterials[[#This Row],[Material Type]]="Ligand","D13","D12"))</f>
        <v>D12</v>
      </c>
      <c r="AI22" s="369" t="str">
        <f ca="1">IF(RawMaterials[[#This Row],[Lab Quote Count]]&gt;1,10^RawMaterials[[#This Row],[Lab Log-Log Intercept]]*INDIRECT(RawMaterials[[#This Row],[Basis Cell]])^RawMaterials[[#This Row],[Lab Log-Log Slope]],"&gt;&gt;&gt; Enter 2 or more lab quotes &lt;&lt;&lt;")</f>
        <v>&gt;&gt;&gt; Enter 2 or more lab quotes &lt;&lt;&lt;</v>
      </c>
      <c r="AJ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0.45500000000000002</v>
      </c>
      <c r="AL22" s="372">
        <f>IF(ISTEXT(RawMaterials[[#This Row],[Unit price in quote year]]),"Check calcs",RawMaterials[[#This Row],[Unit price in quote year]]/VLOOKUP(RawMaterials[[#This Row],[Quote Year]],ChemPPI[],14,FALSE)*VLOOKUP(BasisYear,ChemPPI[],14,FALSE))</f>
        <v>0.61753302845528468</v>
      </c>
      <c r="AM22" s="373" t="str">
        <f t="shared" si="0"/>
        <v>$/lb (2016)</v>
      </c>
    </row>
    <row r="23" spans="1:39">
      <c r="A23" s="263" t="s">
        <v>1131</v>
      </c>
      <c r="B23" s="264"/>
      <c r="C23" s="266"/>
      <c r="D23" s="264"/>
      <c r="E23" s="264">
        <v>100</v>
      </c>
      <c r="F23" s="264"/>
      <c r="G23" s="266"/>
      <c r="H23" s="266"/>
      <c r="I23" s="268"/>
      <c r="J23" s="266"/>
      <c r="K23" s="266"/>
      <c r="L23" s="266"/>
      <c r="M23" s="266"/>
      <c r="N23" s="266"/>
      <c r="O23" s="266"/>
      <c r="P23" s="265">
        <v>0.38</v>
      </c>
      <c r="Q23" s="264">
        <v>1</v>
      </c>
      <c r="R23" s="264" t="s">
        <v>20</v>
      </c>
      <c r="S23" s="264">
        <v>2008</v>
      </c>
      <c r="T23" s="266" t="s">
        <v>163</v>
      </c>
      <c r="U23" s="267">
        <v>42653</v>
      </c>
      <c r="V23" s="269"/>
      <c r="W23" s="366">
        <f>COUNT(RawMaterials[[#This Row],[Lab Quantity 1]:[Lab Quantity 4]])</f>
        <v>0</v>
      </c>
      <c r="X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 s="367" t="e">
        <f>RawMaterials[[#This Row],[Lab Price 1]]/RawMaterials[[#This Row],[Lab Q Model Units 1]]</f>
        <v>#N/A</v>
      </c>
      <c r="AC23" s="367" t="e">
        <f>RawMaterials[[#This Row],[Lab Price 2]]/RawMaterials[[#This Row],[Lab Q Model Units 2]]</f>
        <v>#N/A</v>
      </c>
      <c r="AD23" s="367" t="e">
        <f>RawMaterials[[#This Row],[Lab Price 3]]/RawMaterials[[#This Row],[Lab Q Model Units 3]]</f>
        <v>#N/A</v>
      </c>
      <c r="AE23" s="367" t="e">
        <f>RawMaterials[[#This Row],[Lab Price 4]]/RawMaterials[[#This Row],[Lab Q Model Units 4]]</f>
        <v>#N/A</v>
      </c>
      <c r="AF23" s="367" t="str">
        <f ca="1">IF(RawMaterials[[#This Row],[Lab Quote Count]]&gt;1,SLOPE(LOG(INDIRECT("RawMaterials[@[Lab Unit P 1]:[Lab Unit P "&amp;RawMaterials[[#This Row],[Lab Quote Count]]&amp;"]]")),LOG(INDIRECT("RawMaterials[@[Lab Q Model Units 1]:[Lab Q Model Units "&amp;RawMaterials[[#This Row],[Lab Quote Count]]&amp;"]]"))),"")</f>
        <v/>
      </c>
      <c r="AG23" s="367" t="str">
        <f ca="1">IF(RawMaterials[[#This Row],[Lab Quote Count]]&gt;1,INTERCEPT(LOG(INDIRECT("RawMaterials[@[Lab Unit P 1]:[Lab Unit P "&amp;RawMaterials[[#This Row],[Lab Quote Count]]&amp;"]]")),LOG(INDIRECT("RawMaterials[@[Lab Q Model Units 1]:[Lab Q Model Units "&amp;RawMaterials[[#This Row],[Lab Quote Count]]&amp;"]]"))),"")</f>
        <v/>
      </c>
      <c r="AH23" s="368" t="str">
        <f>IF(RawMaterials[[#This Row],[Material Type]]="Metal Precursor","D13",IF(RawMaterials[[#This Row],[Material Type]]="Ligand","D13","D12"))</f>
        <v>D12</v>
      </c>
      <c r="AI23" s="369" t="str">
        <f ca="1">IF(RawMaterials[[#This Row],[Lab Quote Count]]&gt;1,10^RawMaterials[[#This Row],[Lab Log-Log Intercept]]*INDIRECT(RawMaterials[[#This Row],[Basis Cell]])^RawMaterials[[#This Row],[Lab Log-Log Slope]],"&gt;&gt;&gt; Enter 2 or more lab quotes &lt;&lt;&lt;")</f>
        <v>&gt;&gt;&gt; Enter 2 or more lab quotes &lt;&lt;&lt;</v>
      </c>
      <c r="AJ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23" s="372">
        <f>IF(ISTEXT(RawMaterials[[#This Row],[Unit price in quote year]]),"Check calcs",RawMaterials[[#This Row],[Unit price in quote year]]/VLOOKUP(RawMaterials[[#This Row],[Quote Year]],ChemPPI[],14,FALSE)*VLOOKUP(BasisYear,ChemPPI[],14,FALSE))</f>
        <v>0.4447602702209239</v>
      </c>
      <c r="AM23" s="373" t="str">
        <f t="shared" si="0"/>
        <v>$/lb (2016)</v>
      </c>
    </row>
    <row r="24" spans="1:39">
      <c r="A24" s="263" t="s">
        <v>1132</v>
      </c>
      <c r="B24" s="264"/>
      <c r="C24" s="266"/>
      <c r="D24" s="264"/>
      <c r="E24" s="264">
        <v>100</v>
      </c>
      <c r="F24" s="264"/>
      <c r="G24" s="266"/>
      <c r="H24" s="266"/>
      <c r="I24" s="268"/>
      <c r="J24" s="266"/>
      <c r="K24" s="266"/>
      <c r="L24" s="266"/>
      <c r="M24" s="266"/>
      <c r="N24" s="266"/>
      <c r="O24" s="266"/>
      <c r="P24" s="265">
        <v>0.68</v>
      </c>
      <c r="Q24" s="264">
        <v>1</v>
      </c>
      <c r="R24" s="264" t="s">
        <v>20</v>
      </c>
      <c r="S24" s="264">
        <v>2008</v>
      </c>
      <c r="T24" s="266" t="s">
        <v>163</v>
      </c>
      <c r="U24" s="267">
        <v>42653</v>
      </c>
      <c r="V24" s="269"/>
      <c r="W24" s="366">
        <f>COUNT(RawMaterials[[#This Row],[Lab Quantity 1]:[Lab Quantity 4]])</f>
        <v>0</v>
      </c>
      <c r="X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 s="367" t="e">
        <f>RawMaterials[[#This Row],[Lab Price 1]]/RawMaterials[[#This Row],[Lab Q Model Units 1]]</f>
        <v>#N/A</v>
      </c>
      <c r="AC24" s="367" t="e">
        <f>RawMaterials[[#This Row],[Lab Price 2]]/RawMaterials[[#This Row],[Lab Q Model Units 2]]</f>
        <v>#N/A</v>
      </c>
      <c r="AD24" s="367" t="e">
        <f>RawMaterials[[#This Row],[Lab Price 3]]/RawMaterials[[#This Row],[Lab Q Model Units 3]]</f>
        <v>#N/A</v>
      </c>
      <c r="AE24" s="367" t="e">
        <f>RawMaterials[[#This Row],[Lab Price 4]]/RawMaterials[[#This Row],[Lab Q Model Units 4]]</f>
        <v>#N/A</v>
      </c>
      <c r="AF24" s="367" t="str">
        <f ca="1">IF(RawMaterials[[#This Row],[Lab Quote Count]]&gt;1,SLOPE(LOG(INDIRECT("RawMaterials[@[Lab Unit P 1]:[Lab Unit P "&amp;RawMaterials[[#This Row],[Lab Quote Count]]&amp;"]]")),LOG(INDIRECT("RawMaterials[@[Lab Q Model Units 1]:[Lab Q Model Units "&amp;RawMaterials[[#This Row],[Lab Quote Count]]&amp;"]]"))),"")</f>
        <v/>
      </c>
      <c r="AG24" s="367" t="str">
        <f ca="1">IF(RawMaterials[[#This Row],[Lab Quote Count]]&gt;1,INTERCEPT(LOG(INDIRECT("RawMaterials[@[Lab Unit P 1]:[Lab Unit P "&amp;RawMaterials[[#This Row],[Lab Quote Count]]&amp;"]]")),LOG(INDIRECT("RawMaterials[@[Lab Q Model Units 1]:[Lab Q Model Units "&amp;RawMaterials[[#This Row],[Lab Quote Count]]&amp;"]]"))),"")</f>
        <v/>
      </c>
      <c r="AH24" s="368" t="str">
        <f>IF(RawMaterials[[#This Row],[Material Type]]="Metal Precursor","D13",IF(RawMaterials[[#This Row],[Material Type]]="Ligand","D13","D12"))</f>
        <v>D12</v>
      </c>
      <c r="AI24" s="369" t="str">
        <f ca="1">IF(RawMaterials[[#This Row],[Lab Quote Count]]&gt;1,10^RawMaterials[[#This Row],[Lab Log-Log Intercept]]*INDIRECT(RawMaterials[[#This Row],[Basis Cell]])^RawMaterials[[#This Row],[Lab Log-Log Slope]],"&gt;&gt;&gt; Enter 2 or more lab quotes &lt;&lt;&lt;")</f>
        <v>&gt;&gt;&gt; Enter 2 or more lab quotes &lt;&lt;&lt;</v>
      </c>
      <c r="AJ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24" s="372">
        <f>IF(ISTEXT(RawMaterials[[#This Row],[Unit price in quote year]]),"Check calcs",RawMaterials[[#This Row],[Unit price in quote year]]/VLOOKUP(RawMaterials[[#This Row],[Quote Year]],ChemPPI[],14,FALSE)*VLOOKUP(BasisYear,ChemPPI[],14,FALSE))</f>
        <v>0.79588679934270601</v>
      </c>
      <c r="AM24" s="373" t="str">
        <f t="shared" si="0"/>
        <v>$/lb (2016)</v>
      </c>
    </row>
    <row r="25" spans="1:39">
      <c r="A25" s="263" t="s">
        <v>1133</v>
      </c>
      <c r="B25" s="264"/>
      <c r="C25" s="276"/>
      <c r="D25" s="270"/>
      <c r="E25" s="264">
        <v>100</v>
      </c>
      <c r="F25" s="264"/>
      <c r="G25" s="276"/>
      <c r="H25" s="276"/>
      <c r="I25" s="268"/>
      <c r="J25" s="276"/>
      <c r="K25" s="276"/>
      <c r="L25" s="276"/>
      <c r="M25" s="276"/>
      <c r="N25" s="276"/>
      <c r="O25" s="276"/>
      <c r="P25" s="364">
        <v>0.495</v>
      </c>
      <c r="Q25" s="264">
        <v>1</v>
      </c>
      <c r="R25" s="264" t="s">
        <v>20</v>
      </c>
      <c r="S25" s="264">
        <v>2006</v>
      </c>
      <c r="T25" s="266" t="s">
        <v>163</v>
      </c>
      <c r="U25" s="267">
        <v>42653</v>
      </c>
      <c r="V25" s="269"/>
      <c r="W25" s="366">
        <f>COUNT(RawMaterials[[#This Row],[Lab Quantity 1]:[Lab Quantity 4]])</f>
        <v>0</v>
      </c>
      <c r="X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 s="367" t="e">
        <f>RawMaterials[[#This Row],[Lab Price 1]]/RawMaterials[[#This Row],[Lab Q Model Units 1]]</f>
        <v>#N/A</v>
      </c>
      <c r="AC25" s="367" t="e">
        <f>RawMaterials[[#This Row],[Lab Price 2]]/RawMaterials[[#This Row],[Lab Q Model Units 2]]</f>
        <v>#N/A</v>
      </c>
      <c r="AD25" s="367" t="e">
        <f>RawMaterials[[#This Row],[Lab Price 3]]/RawMaterials[[#This Row],[Lab Q Model Units 3]]</f>
        <v>#N/A</v>
      </c>
      <c r="AE25" s="367" t="e">
        <f>RawMaterials[[#This Row],[Lab Price 4]]/RawMaterials[[#This Row],[Lab Q Model Units 4]]</f>
        <v>#N/A</v>
      </c>
      <c r="AF25" s="367" t="str">
        <f ca="1">IF(RawMaterials[[#This Row],[Lab Quote Count]]&gt;1,SLOPE(LOG(INDIRECT("RawMaterials[@[Lab Unit P 1]:[Lab Unit P "&amp;RawMaterials[[#This Row],[Lab Quote Count]]&amp;"]]")),LOG(INDIRECT("RawMaterials[@[Lab Q Model Units 1]:[Lab Q Model Units "&amp;RawMaterials[[#This Row],[Lab Quote Count]]&amp;"]]"))),"")</f>
        <v/>
      </c>
      <c r="AG25" s="367" t="str">
        <f ca="1">IF(RawMaterials[[#This Row],[Lab Quote Count]]&gt;1,INTERCEPT(LOG(INDIRECT("RawMaterials[@[Lab Unit P 1]:[Lab Unit P "&amp;RawMaterials[[#This Row],[Lab Quote Count]]&amp;"]]")),LOG(INDIRECT("RawMaterials[@[Lab Q Model Units 1]:[Lab Q Model Units "&amp;RawMaterials[[#This Row],[Lab Quote Count]]&amp;"]]"))),"")</f>
        <v/>
      </c>
      <c r="AH25" s="368" t="str">
        <f>IF(RawMaterials[[#This Row],[Material Type]]="Metal Precursor","D13",IF(RawMaterials[[#This Row],[Material Type]]="Ligand","D13","D12"))</f>
        <v>D12</v>
      </c>
      <c r="AI25" s="369" t="str">
        <f ca="1">IF(RawMaterials[[#This Row],[Lab Quote Count]]&gt;1,10^RawMaterials[[#This Row],[Lab Log-Log Intercept]]*INDIRECT(RawMaterials[[#This Row],[Basis Cell]])^RawMaterials[[#This Row],[Lab Log-Log Slope]],"&gt;&gt;&gt; Enter 2 or more lab quotes &lt;&lt;&lt;")</f>
        <v>&gt;&gt;&gt; Enter 2 or more lab quotes &lt;&lt;&lt;</v>
      </c>
      <c r="AJ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5" s="372">
        <f>IF(ISTEXT(RawMaterials[[#This Row],[Unit price in quote year]]),"Check calcs",RawMaterials[[#This Row],[Unit price in quote year]]/VLOOKUP(RawMaterials[[#This Row],[Quote Year]],ChemPPI[],14,FALSE)*VLOOKUP(BasisYear,ChemPPI[],14,FALSE))</f>
        <v>0.67182164634146346</v>
      </c>
      <c r="AM25" s="373" t="str">
        <f t="shared" si="0"/>
        <v>$/lb (2016)</v>
      </c>
    </row>
    <row r="26" spans="1:39">
      <c r="A26" s="263" t="s">
        <v>1134</v>
      </c>
      <c r="B26" s="264"/>
      <c r="C26" s="276"/>
      <c r="D26" s="270"/>
      <c r="E26" s="264">
        <v>100</v>
      </c>
      <c r="F26" s="264"/>
      <c r="G26" s="276"/>
      <c r="H26" s="276"/>
      <c r="I26" s="268"/>
      <c r="J26" s="276"/>
      <c r="K26" s="276"/>
      <c r="L26" s="276"/>
      <c r="M26" s="276"/>
      <c r="N26" s="276"/>
      <c r="O26" s="276"/>
      <c r="P26" s="364">
        <v>0.72499999999999998</v>
      </c>
      <c r="Q26" s="272">
        <v>1</v>
      </c>
      <c r="R26" s="272" t="s">
        <v>20</v>
      </c>
      <c r="S26" s="272">
        <v>2008</v>
      </c>
      <c r="T26" s="273" t="s">
        <v>163</v>
      </c>
      <c r="U26" s="274">
        <v>42653</v>
      </c>
      <c r="V26" s="275"/>
      <c r="W26" s="366">
        <f>COUNT(RawMaterials[[#This Row],[Lab Quantity 1]:[Lab Quantity 4]])</f>
        <v>0</v>
      </c>
      <c r="X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 s="367" t="e">
        <f>RawMaterials[[#This Row],[Lab Price 1]]/RawMaterials[[#This Row],[Lab Q Model Units 1]]</f>
        <v>#N/A</v>
      </c>
      <c r="AC26" s="367" t="e">
        <f>RawMaterials[[#This Row],[Lab Price 2]]/RawMaterials[[#This Row],[Lab Q Model Units 2]]</f>
        <v>#N/A</v>
      </c>
      <c r="AD26" s="367" t="e">
        <f>RawMaterials[[#This Row],[Lab Price 3]]/RawMaterials[[#This Row],[Lab Q Model Units 3]]</f>
        <v>#N/A</v>
      </c>
      <c r="AE26" s="367" t="e">
        <f>RawMaterials[[#This Row],[Lab Price 4]]/RawMaterials[[#This Row],[Lab Q Model Units 4]]</f>
        <v>#N/A</v>
      </c>
      <c r="AF26" s="367" t="str">
        <f ca="1">IF(RawMaterials[[#This Row],[Lab Quote Count]]&gt;1,SLOPE(LOG(INDIRECT("RawMaterials[@[Lab Unit P 1]:[Lab Unit P "&amp;RawMaterials[[#This Row],[Lab Quote Count]]&amp;"]]")),LOG(INDIRECT("RawMaterials[@[Lab Q Model Units 1]:[Lab Q Model Units "&amp;RawMaterials[[#This Row],[Lab Quote Count]]&amp;"]]"))),"")</f>
        <v/>
      </c>
      <c r="AG26" s="367" t="str">
        <f ca="1">IF(RawMaterials[[#This Row],[Lab Quote Count]]&gt;1,INTERCEPT(LOG(INDIRECT("RawMaterials[@[Lab Unit P 1]:[Lab Unit P "&amp;RawMaterials[[#This Row],[Lab Quote Count]]&amp;"]]")),LOG(INDIRECT("RawMaterials[@[Lab Q Model Units 1]:[Lab Q Model Units "&amp;RawMaterials[[#This Row],[Lab Quote Count]]&amp;"]]"))),"")</f>
        <v/>
      </c>
      <c r="AH26" s="368" t="str">
        <f>IF(RawMaterials[[#This Row],[Material Type]]="Metal Precursor","D13",IF(RawMaterials[[#This Row],[Material Type]]="Ligand","D13","D12"))</f>
        <v>D12</v>
      </c>
      <c r="AI26" s="369" t="str">
        <f ca="1">IF(RawMaterials[[#This Row],[Lab Quote Count]]&gt;1,10^RawMaterials[[#This Row],[Lab Log-Log Intercept]]*INDIRECT(RawMaterials[[#This Row],[Basis Cell]])^RawMaterials[[#This Row],[Lab Log-Log Slope]],"&gt;&gt;&gt; Enter 2 or more lab quotes &lt;&lt;&lt;")</f>
        <v>&gt;&gt;&gt; Enter 2 or more lab quotes &lt;&lt;&lt;</v>
      </c>
      <c r="AJ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26" s="372">
        <f>IF(ISTEXT(RawMaterials[[#This Row],[Unit price in quote year]]),"Check calcs",RawMaterials[[#This Row],[Unit price in quote year]]/VLOOKUP(RawMaterials[[#This Row],[Quote Year]],ChemPPI[],14,FALSE)*VLOOKUP(BasisYear,ChemPPI[],14,FALSE))</f>
        <v>0.84855577871097321</v>
      </c>
      <c r="AM26" s="373" t="str">
        <f t="shared" si="0"/>
        <v>$/lb (2016)</v>
      </c>
    </row>
    <row r="27" spans="1:39">
      <c r="A27" s="263" t="s">
        <v>1135</v>
      </c>
      <c r="B27" s="264"/>
      <c r="C27" s="276"/>
      <c r="D27" s="270"/>
      <c r="E27" s="264">
        <v>100</v>
      </c>
      <c r="F27" s="264"/>
      <c r="G27" s="276"/>
      <c r="H27" s="276"/>
      <c r="I27" s="268"/>
      <c r="J27" s="276"/>
      <c r="K27" s="276"/>
      <c r="L27" s="276"/>
      <c r="M27" s="276"/>
      <c r="N27" s="276"/>
      <c r="O27" s="276"/>
      <c r="P27" s="265">
        <v>0.53</v>
      </c>
      <c r="Q27" s="264">
        <v>1</v>
      </c>
      <c r="R27" s="264" t="s">
        <v>20</v>
      </c>
      <c r="S27" s="264">
        <v>2008</v>
      </c>
      <c r="T27" s="266" t="s">
        <v>163</v>
      </c>
      <c r="U27" s="267">
        <v>42653</v>
      </c>
      <c r="V27" s="269"/>
      <c r="W27" s="366">
        <f>COUNT(RawMaterials[[#This Row],[Lab Quantity 1]:[Lab Quantity 4]])</f>
        <v>0</v>
      </c>
      <c r="X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 s="367" t="e">
        <f>RawMaterials[[#This Row],[Lab Price 1]]/RawMaterials[[#This Row],[Lab Q Model Units 1]]</f>
        <v>#N/A</v>
      </c>
      <c r="AC27" s="367" t="e">
        <f>RawMaterials[[#This Row],[Lab Price 2]]/RawMaterials[[#This Row],[Lab Q Model Units 2]]</f>
        <v>#N/A</v>
      </c>
      <c r="AD27" s="367" t="e">
        <f>RawMaterials[[#This Row],[Lab Price 3]]/RawMaterials[[#This Row],[Lab Q Model Units 3]]</f>
        <v>#N/A</v>
      </c>
      <c r="AE27" s="367" t="e">
        <f>RawMaterials[[#This Row],[Lab Price 4]]/RawMaterials[[#This Row],[Lab Q Model Units 4]]</f>
        <v>#N/A</v>
      </c>
      <c r="AF27" s="367" t="str">
        <f ca="1">IF(RawMaterials[[#This Row],[Lab Quote Count]]&gt;1,SLOPE(LOG(INDIRECT("RawMaterials[@[Lab Unit P 1]:[Lab Unit P "&amp;RawMaterials[[#This Row],[Lab Quote Count]]&amp;"]]")),LOG(INDIRECT("RawMaterials[@[Lab Q Model Units 1]:[Lab Q Model Units "&amp;RawMaterials[[#This Row],[Lab Quote Count]]&amp;"]]"))),"")</f>
        <v/>
      </c>
      <c r="AG27" s="367" t="str">
        <f ca="1">IF(RawMaterials[[#This Row],[Lab Quote Count]]&gt;1,INTERCEPT(LOG(INDIRECT("RawMaterials[@[Lab Unit P 1]:[Lab Unit P "&amp;RawMaterials[[#This Row],[Lab Quote Count]]&amp;"]]")),LOG(INDIRECT("RawMaterials[@[Lab Q Model Units 1]:[Lab Q Model Units "&amp;RawMaterials[[#This Row],[Lab Quote Count]]&amp;"]]"))),"")</f>
        <v/>
      </c>
      <c r="AH27" s="368" t="str">
        <f>IF(RawMaterials[[#This Row],[Material Type]]="Metal Precursor","D13",IF(RawMaterials[[#This Row],[Material Type]]="Ligand","D13","D12"))</f>
        <v>D12</v>
      </c>
      <c r="AI27" s="369" t="str">
        <f ca="1">IF(RawMaterials[[#This Row],[Lab Quote Count]]&gt;1,10^RawMaterials[[#This Row],[Lab Log-Log Intercept]]*INDIRECT(RawMaterials[[#This Row],[Basis Cell]])^RawMaterials[[#This Row],[Lab Log-Log Slope]],"&gt;&gt;&gt; Enter 2 or more lab quotes &lt;&lt;&lt;")</f>
        <v>&gt;&gt;&gt; Enter 2 or more lab quotes &lt;&lt;&lt;</v>
      </c>
      <c r="AJ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7" s="372">
        <f>IF(ISTEXT(RawMaterials[[#This Row],[Unit price in quote year]]),"Check calcs",RawMaterials[[#This Row],[Unit price in quote year]]/VLOOKUP(RawMaterials[[#This Row],[Quote Year]],ChemPPI[],14,FALSE)*VLOOKUP(BasisYear,ChemPPI[],14,FALSE))</f>
        <v>0.6203235347818149</v>
      </c>
      <c r="AM27" s="373" t="str">
        <f t="shared" si="0"/>
        <v>$/lb (2016)</v>
      </c>
    </row>
    <row r="28" spans="1:39">
      <c r="A28" s="263" t="s">
        <v>1136</v>
      </c>
      <c r="B28" s="264"/>
      <c r="C28" s="276"/>
      <c r="D28" s="270"/>
      <c r="E28" s="264">
        <v>100</v>
      </c>
      <c r="F28" s="264"/>
      <c r="G28" s="276"/>
      <c r="H28" s="276"/>
      <c r="I28" s="268"/>
      <c r="J28" s="276"/>
      <c r="K28" s="276"/>
      <c r="L28" s="276"/>
      <c r="M28" s="276"/>
      <c r="N28" s="276"/>
      <c r="O28" s="276"/>
      <c r="P28" s="265">
        <v>0.5</v>
      </c>
      <c r="Q28" s="264">
        <v>1</v>
      </c>
      <c r="R28" s="264" t="s">
        <v>20</v>
      </c>
      <c r="S28" s="264">
        <v>2008</v>
      </c>
      <c r="T28" s="266" t="s">
        <v>163</v>
      </c>
      <c r="U28" s="267">
        <v>42653</v>
      </c>
      <c r="V28" s="269"/>
      <c r="W28" s="366">
        <f>COUNT(RawMaterials[[#This Row],[Lab Quantity 1]:[Lab Quantity 4]])</f>
        <v>0</v>
      </c>
      <c r="X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 s="367" t="e">
        <f>RawMaterials[[#This Row],[Lab Price 1]]/RawMaterials[[#This Row],[Lab Q Model Units 1]]</f>
        <v>#N/A</v>
      </c>
      <c r="AC28" s="367" t="e">
        <f>RawMaterials[[#This Row],[Lab Price 2]]/RawMaterials[[#This Row],[Lab Q Model Units 2]]</f>
        <v>#N/A</v>
      </c>
      <c r="AD28" s="367" t="e">
        <f>RawMaterials[[#This Row],[Lab Price 3]]/RawMaterials[[#This Row],[Lab Q Model Units 3]]</f>
        <v>#N/A</v>
      </c>
      <c r="AE28" s="367" t="e">
        <f>RawMaterials[[#This Row],[Lab Price 4]]/RawMaterials[[#This Row],[Lab Q Model Units 4]]</f>
        <v>#N/A</v>
      </c>
      <c r="AF28" s="367" t="str">
        <f ca="1">IF(RawMaterials[[#This Row],[Lab Quote Count]]&gt;1,SLOPE(LOG(INDIRECT("RawMaterials[@[Lab Unit P 1]:[Lab Unit P "&amp;RawMaterials[[#This Row],[Lab Quote Count]]&amp;"]]")),LOG(INDIRECT("RawMaterials[@[Lab Q Model Units 1]:[Lab Q Model Units "&amp;RawMaterials[[#This Row],[Lab Quote Count]]&amp;"]]"))),"")</f>
        <v/>
      </c>
      <c r="AG28" s="367" t="str">
        <f ca="1">IF(RawMaterials[[#This Row],[Lab Quote Count]]&gt;1,INTERCEPT(LOG(INDIRECT("RawMaterials[@[Lab Unit P 1]:[Lab Unit P "&amp;RawMaterials[[#This Row],[Lab Quote Count]]&amp;"]]")),LOG(INDIRECT("RawMaterials[@[Lab Q Model Units 1]:[Lab Q Model Units "&amp;RawMaterials[[#This Row],[Lab Quote Count]]&amp;"]]"))),"")</f>
        <v/>
      </c>
      <c r="AH28" s="368" t="str">
        <f>IF(RawMaterials[[#This Row],[Material Type]]="Metal Precursor","D13",IF(RawMaterials[[#This Row],[Material Type]]="Ligand","D13","D12"))</f>
        <v>D12</v>
      </c>
      <c r="AI28" s="369" t="str">
        <f ca="1">IF(RawMaterials[[#This Row],[Lab Quote Count]]&gt;1,10^RawMaterials[[#This Row],[Lab Log-Log Intercept]]*INDIRECT(RawMaterials[[#This Row],[Basis Cell]])^RawMaterials[[#This Row],[Lab Log-Log Slope]],"&gt;&gt;&gt; Enter 2 or more lab quotes &lt;&lt;&lt;")</f>
        <v>&gt;&gt;&gt; Enter 2 or more lab quotes &lt;&lt;&lt;</v>
      </c>
      <c r="AJ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28" s="372">
        <f>IF(ISTEXT(RawMaterials[[#This Row],[Unit price in quote year]]),"Check calcs",RawMaterials[[#This Row],[Unit price in quote year]]/VLOOKUP(RawMaterials[[#This Row],[Quote Year]],ChemPPI[],14,FALSE)*VLOOKUP(BasisYear,ChemPPI[],14,FALSE))</f>
        <v>0.58521088186963666</v>
      </c>
      <c r="AM28" s="373" t="str">
        <f t="shared" si="0"/>
        <v>$/lb (2016)</v>
      </c>
    </row>
    <row r="29" spans="1:39">
      <c r="A29" s="263" t="s">
        <v>1137</v>
      </c>
      <c r="B29" s="264"/>
      <c r="C29" s="276"/>
      <c r="D29" s="270"/>
      <c r="E29" s="264">
        <v>100</v>
      </c>
      <c r="F29" s="264"/>
      <c r="G29" s="276"/>
      <c r="H29" s="276"/>
      <c r="I29" s="268"/>
      <c r="J29" s="276"/>
      <c r="K29" s="276"/>
      <c r="L29" s="276"/>
      <c r="M29" s="276"/>
      <c r="N29" s="276"/>
      <c r="O29" s="276"/>
      <c r="P29" s="265">
        <v>0.7</v>
      </c>
      <c r="Q29" s="264">
        <v>1</v>
      </c>
      <c r="R29" s="264" t="s">
        <v>20</v>
      </c>
      <c r="S29" s="264">
        <v>2006</v>
      </c>
      <c r="T29" s="266" t="s">
        <v>163</v>
      </c>
      <c r="U29" s="267">
        <v>42653</v>
      </c>
      <c r="V29" s="269"/>
      <c r="W29" s="366">
        <f>COUNT(RawMaterials[[#This Row],[Lab Quantity 1]:[Lab Quantity 4]])</f>
        <v>0</v>
      </c>
      <c r="X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 s="367" t="e">
        <f>RawMaterials[[#This Row],[Lab Price 1]]/RawMaterials[[#This Row],[Lab Q Model Units 1]]</f>
        <v>#N/A</v>
      </c>
      <c r="AC29" s="367" t="e">
        <f>RawMaterials[[#This Row],[Lab Price 2]]/RawMaterials[[#This Row],[Lab Q Model Units 2]]</f>
        <v>#N/A</v>
      </c>
      <c r="AD29" s="367" t="e">
        <f>RawMaterials[[#This Row],[Lab Price 3]]/RawMaterials[[#This Row],[Lab Q Model Units 3]]</f>
        <v>#N/A</v>
      </c>
      <c r="AE29" s="367" t="e">
        <f>RawMaterials[[#This Row],[Lab Price 4]]/RawMaterials[[#This Row],[Lab Q Model Units 4]]</f>
        <v>#N/A</v>
      </c>
      <c r="AF29" s="367" t="str">
        <f ca="1">IF(RawMaterials[[#This Row],[Lab Quote Count]]&gt;1,SLOPE(LOG(INDIRECT("RawMaterials[@[Lab Unit P 1]:[Lab Unit P "&amp;RawMaterials[[#This Row],[Lab Quote Count]]&amp;"]]")),LOG(INDIRECT("RawMaterials[@[Lab Q Model Units 1]:[Lab Q Model Units "&amp;RawMaterials[[#This Row],[Lab Quote Count]]&amp;"]]"))),"")</f>
        <v/>
      </c>
      <c r="AG29" s="367" t="str">
        <f ca="1">IF(RawMaterials[[#This Row],[Lab Quote Count]]&gt;1,INTERCEPT(LOG(INDIRECT("RawMaterials[@[Lab Unit P 1]:[Lab Unit P "&amp;RawMaterials[[#This Row],[Lab Quote Count]]&amp;"]]")),LOG(INDIRECT("RawMaterials[@[Lab Q Model Units 1]:[Lab Q Model Units "&amp;RawMaterials[[#This Row],[Lab Quote Count]]&amp;"]]"))),"")</f>
        <v/>
      </c>
      <c r="AH29" s="368" t="str">
        <f>IF(RawMaterials[[#This Row],[Material Type]]="Metal Precursor","D13",IF(RawMaterials[[#This Row],[Material Type]]="Ligand","D13","D12"))</f>
        <v>D12</v>
      </c>
      <c r="AI29" s="369" t="str">
        <f ca="1">IF(RawMaterials[[#This Row],[Lab Quote Count]]&gt;1,10^RawMaterials[[#This Row],[Lab Log-Log Intercept]]*INDIRECT(RawMaterials[[#This Row],[Basis Cell]])^RawMaterials[[#This Row],[Lab Log-Log Slope]],"&gt;&gt;&gt; Enter 2 or more lab quotes &lt;&lt;&lt;")</f>
        <v>&gt;&gt;&gt; Enter 2 or more lab quotes &lt;&lt;&lt;</v>
      </c>
      <c r="AJ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 s="372">
        <f>IF(ISTEXT(RawMaterials[[#This Row],[Unit price in quote year]]),"Check calcs",RawMaterials[[#This Row],[Unit price in quote year]]/VLOOKUP(RawMaterials[[#This Row],[Quote Year]],ChemPPI[],14,FALSE)*VLOOKUP(BasisYear,ChemPPI[],14,FALSE))</f>
        <v>0.95005081300813021</v>
      </c>
      <c r="AM29" s="373" t="str">
        <f t="shared" si="0"/>
        <v>$/lb (2016)</v>
      </c>
    </row>
    <row r="30" spans="1:39">
      <c r="A30" s="263" t="s">
        <v>1138</v>
      </c>
      <c r="B30" s="264"/>
      <c r="C30" s="276"/>
      <c r="D30" s="270"/>
      <c r="E30" s="264">
        <v>100</v>
      </c>
      <c r="F30" s="264"/>
      <c r="G30" s="276"/>
      <c r="H30" s="276"/>
      <c r="I30" s="268"/>
      <c r="J30" s="276"/>
      <c r="K30" s="276"/>
      <c r="L30" s="276"/>
      <c r="M30" s="276"/>
      <c r="N30" s="276"/>
      <c r="O30" s="276"/>
      <c r="P30" s="265">
        <v>3.7</v>
      </c>
      <c r="Q30" s="264">
        <v>1</v>
      </c>
      <c r="R30" s="264" t="s">
        <v>20</v>
      </c>
      <c r="S30" s="264">
        <v>2006</v>
      </c>
      <c r="T30" s="266" t="s">
        <v>163</v>
      </c>
      <c r="U30" s="267">
        <v>42653</v>
      </c>
      <c r="V30" s="269"/>
      <c r="W30" s="366">
        <f>COUNT(RawMaterials[[#This Row],[Lab Quantity 1]:[Lab Quantity 4]])</f>
        <v>0</v>
      </c>
      <c r="X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 s="367" t="e">
        <f>RawMaterials[[#This Row],[Lab Price 1]]/RawMaterials[[#This Row],[Lab Q Model Units 1]]</f>
        <v>#N/A</v>
      </c>
      <c r="AC30" s="367" t="e">
        <f>RawMaterials[[#This Row],[Lab Price 2]]/RawMaterials[[#This Row],[Lab Q Model Units 2]]</f>
        <v>#N/A</v>
      </c>
      <c r="AD30" s="367" t="e">
        <f>RawMaterials[[#This Row],[Lab Price 3]]/RawMaterials[[#This Row],[Lab Q Model Units 3]]</f>
        <v>#N/A</v>
      </c>
      <c r="AE30" s="367" t="e">
        <f>RawMaterials[[#This Row],[Lab Price 4]]/RawMaterials[[#This Row],[Lab Q Model Units 4]]</f>
        <v>#N/A</v>
      </c>
      <c r="AF30" s="367" t="str">
        <f ca="1">IF(RawMaterials[[#This Row],[Lab Quote Count]]&gt;1,SLOPE(LOG(INDIRECT("RawMaterials[@[Lab Unit P 1]:[Lab Unit P "&amp;RawMaterials[[#This Row],[Lab Quote Count]]&amp;"]]")),LOG(INDIRECT("RawMaterials[@[Lab Q Model Units 1]:[Lab Q Model Units "&amp;RawMaterials[[#This Row],[Lab Quote Count]]&amp;"]]"))),"")</f>
        <v/>
      </c>
      <c r="AG30" s="367" t="str">
        <f ca="1">IF(RawMaterials[[#This Row],[Lab Quote Count]]&gt;1,INTERCEPT(LOG(INDIRECT("RawMaterials[@[Lab Unit P 1]:[Lab Unit P "&amp;RawMaterials[[#This Row],[Lab Quote Count]]&amp;"]]")),LOG(INDIRECT("RawMaterials[@[Lab Q Model Units 1]:[Lab Q Model Units "&amp;RawMaterials[[#This Row],[Lab Quote Count]]&amp;"]]"))),"")</f>
        <v/>
      </c>
      <c r="AH30" s="368" t="str">
        <f>IF(RawMaterials[[#This Row],[Material Type]]="Metal Precursor","D13",IF(RawMaterials[[#This Row],[Material Type]]="Ligand","D13","D12"))</f>
        <v>D12</v>
      </c>
      <c r="AI30" s="369" t="str">
        <f ca="1">IF(RawMaterials[[#This Row],[Lab Quote Count]]&gt;1,10^RawMaterials[[#This Row],[Lab Log-Log Intercept]]*INDIRECT(RawMaterials[[#This Row],[Basis Cell]])^RawMaterials[[#This Row],[Lab Log-Log Slope]],"&gt;&gt;&gt; Enter 2 or more lab quotes &lt;&lt;&lt;")</f>
        <v>&gt;&gt;&gt; Enter 2 or more lab quotes &lt;&lt;&lt;</v>
      </c>
      <c r="AJ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v>
      </c>
      <c r="AL30" s="372">
        <f>IF(ISTEXT(RawMaterials[[#This Row],[Unit price in quote year]]),"Check calcs",RawMaterials[[#This Row],[Unit price in quote year]]/VLOOKUP(RawMaterials[[#This Row],[Quote Year]],ChemPPI[],14,FALSE)*VLOOKUP(BasisYear,ChemPPI[],14,FALSE))</f>
        <v>5.0216971544715454</v>
      </c>
      <c r="AM30" s="373" t="str">
        <f t="shared" si="0"/>
        <v>$/lb (2016)</v>
      </c>
    </row>
    <row r="31" spans="1:39">
      <c r="A31" s="263" t="s">
        <v>1139</v>
      </c>
      <c r="B31" s="264"/>
      <c r="C31" s="276"/>
      <c r="D31" s="270"/>
      <c r="E31" s="264">
        <v>100</v>
      </c>
      <c r="F31" s="264"/>
      <c r="G31" s="276"/>
      <c r="H31" s="276"/>
      <c r="I31" s="268"/>
      <c r="J31" s="276"/>
      <c r="K31" s="276"/>
      <c r="L31" s="276"/>
      <c r="M31" s="276"/>
      <c r="N31" s="276"/>
      <c r="O31" s="276"/>
      <c r="P31" s="265">
        <v>3.9</v>
      </c>
      <c r="Q31" s="264">
        <v>1</v>
      </c>
      <c r="R31" s="264" t="s">
        <v>20</v>
      </c>
      <c r="S31" s="264">
        <v>2006</v>
      </c>
      <c r="T31" s="266" t="s">
        <v>163</v>
      </c>
      <c r="U31" s="267">
        <v>42653</v>
      </c>
      <c r="V31" s="269"/>
      <c r="W31" s="366">
        <f>COUNT(RawMaterials[[#This Row],[Lab Quantity 1]:[Lab Quantity 4]])</f>
        <v>0</v>
      </c>
      <c r="X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 s="367" t="e">
        <f>RawMaterials[[#This Row],[Lab Price 1]]/RawMaterials[[#This Row],[Lab Q Model Units 1]]</f>
        <v>#N/A</v>
      </c>
      <c r="AC31" s="367" t="e">
        <f>RawMaterials[[#This Row],[Lab Price 2]]/RawMaterials[[#This Row],[Lab Q Model Units 2]]</f>
        <v>#N/A</v>
      </c>
      <c r="AD31" s="367" t="e">
        <f>RawMaterials[[#This Row],[Lab Price 3]]/RawMaterials[[#This Row],[Lab Q Model Units 3]]</f>
        <v>#N/A</v>
      </c>
      <c r="AE31" s="367" t="e">
        <f>RawMaterials[[#This Row],[Lab Price 4]]/RawMaterials[[#This Row],[Lab Q Model Units 4]]</f>
        <v>#N/A</v>
      </c>
      <c r="AF31" s="367" t="str">
        <f ca="1">IF(RawMaterials[[#This Row],[Lab Quote Count]]&gt;1,SLOPE(LOG(INDIRECT("RawMaterials[@[Lab Unit P 1]:[Lab Unit P "&amp;RawMaterials[[#This Row],[Lab Quote Count]]&amp;"]]")),LOG(INDIRECT("RawMaterials[@[Lab Q Model Units 1]:[Lab Q Model Units "&amp;RawMaterials[[#This Row],[Lab Quote Count]]&amp;"]]"))),"")</f>
        <v/>
      </c>
      <c r="AG31" s="367" t="str">
        <f ca="1">IF(RawMaterials[[#This Row],[Lab Quote Count]]&gt;1,INTERCEPT(LOG(INDIRECT("RawMaterials[@[Lab Unit P 1]:[Lab Unit P "&amp;RawMaterials[[#This Row],[Lab Quote Count]]&amp;"]]")),LOG(INDIRECT("RawMaterials[@[Lab Q Model Units 1]:[Lab Q Model Units "&amp;RawMaterials[[#This Row],[Lab Quote Count]]&amp;"]]"))),"")</f>
        <v/>
      </c>
      <c r="AH31" s="368" t="str">
        <f>IF(RawMaterials[[#This Row],[Material Type]]="Metal Precursor","D13",IF(RawMaterials[[#This Row],[Material Type]]="Ligand","D13","D12"))</f>
        <v>D12</v>
      </c>
      <c r="AI31" s="369" t="str">
        <f ca="1">IF(RawMaterials[[#This Row],[Lab Quote Count]]&gt;1,10^RawMaterials[[#This Row],[Lab Log-Log Intercept]]*INDIRECT(RawMaterials[[#This Row],[Basis Cell]])^RawMaterials[[#This Row],[Lab Log-Log Slope]],"&gt;&gt;&gt; Enter 2 or more lab quotes &lt;&lt;&lt;")</f>
        <v>&gt;&gt;&gt; Enter 2 or more lab quotes &lt;&lt;&lt;</v>
      </c>
      <c r="AJ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v>
      </c>
      <c r="AL31" s="372">
        <f>IF(ISTEXT(RawMaterials[[#This Row],[Unit price in quote year]]),"Check calcs",RawMaterials[[#This Row],[Unit price in quote year]]/VLOOKUP(RawMaterials[[#This Row],[Quote Year]],ChemPPI[],14,FALSE)*VLOOKUP(BasisYear,ChemPPI[],14,FALSE))</f>
        <v>5.2931402439024398</v>
      </c>
      <c r="AM31" s="373" t="str">
        <f t="shared" si="0"/>
        <v>$/lb (2016)</v>
      </c>
    </row>
    <row r="32" spans="1:39">
      <c r="A32" s="263" t="s">
        <v>1140</v>
      </c>
      <c r="B32" s="264"/>
      <c r="C32" s="276"/>
      <c r="D32" s="270"/>
      <c r="E32" s="264">
        <v>100</v>
      </c>
      <c r="F32" s="264"/>
      <c r="G32" s="276"/>
      <c r="H32" s="276"/>
      <c r="I32" s="268"/>
      <c r="J32" s="276"/>
      <c r="K32" s="276"/>
      <c r="L32" s="276"/>
      <c r="M32" s="276"/>
      <c r="N32" s="276"/>
      <c r="O32" s="276"/>
      <c r="P32" s="265">
        <v>1.115</v>
      </c>
      <c r="Q32" s="264">
        <v>1</v>
      </c>
      <c r="R32" s="264" t="s">
        <v>20</v>
      </c>
      <c r="S32" s="264">
        <v>2008</v>
      </c>
      <c r="T32" s="266" t="s">
        <v>163</v>
      </c>
      <c r="U32" s="267">
        <v>42653</v>
      </c>
      <c r="V32" s="269"/>
      <c r="W32" s="366">
        <f>COUNT(RawMaterials[[#This Row],[Lab Quantity 1]:[Lab Quantity 4]])</f>
        <v>0</v>
      </c>
      <c r="X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 s="367" t="e">
        <f>RawMaterials[[#This Row],[Lab Price 1]]/RawMaterials[[#This Row],[Lab Q Model Units 1]]</f>
        <v>#N/A</v>
      </c>
      <c r="AC32" s="367" t="e">
        <f>RawMaterials[[#This Row],[Lab Price 2]]/RawMaterials[[#This Row],[Lab Q Model Units 2]]</f>
        <v>#N/A</v>
      </c>
      <c r="AD32" s="367" t="e">
        <f>RawMaterials[[#This Row],[Lab Price 3]]/RawMaterials[[#This Row],[Lab Q Model Units 3]]</f>
        <v>#N/A</v>
      </c>
      <c r="AE32" s="367" t="e">
        <f>RawMaterials[[#This Row],[Lab Price 4]]/RawMaterials[[#This Row],[Lab Q Model Units 4]]</f>
        <v>#N/A</v>
      </c>
      <c r="AF32" s="367" t="str">
        <f ca="1">IF(RawMaterials[[#This Row],[Lab Quote Count]]&gt;1,SLOPE(LOG(INDIRECT("RawMaterials[@[Lab Unit P 1]:[Lab Unit P "&amp;RawMaterials[[#This Row],[Lab Quote Count]]&amp;"]]")),LOG(INDIRECT("RawMaterials[@[Lab Q Model Units 1]:[Lab Q Model Units "&amp;RawMaterials[[#This Row],[Lab Quote Count]]&amp;"]]"))),"")</f>
        <v/>
      </c>
      <c r="AG32" s="367" t="str">
        <f ca="1">IF(RawMaterials[[#This Row],[Lab Quote Count]]&gt;1,INTERCEPT(LOG(INDIRECT("RawMaterials[@[Lab Unit P 1]:[Lab Unit P "&amp;RawMaterials[[#This Row],[Lab Quote Count]]&amp;"]]")),LOG(INDIRECT("RawMaterials[@[Lab Q Model Units 1]:[Lab Q Model Units "&amp;RawMaterials[[#This Row],[Lab Quote Count]]&amp;"]]"))),"")</f>
        <v/>
      </c>
      <c r="AH32" s="368" t="str">
        <f>IF(RawMaterials[[#This Row],[Material Type]]="Metal Precursor","D13",IF(RawMaterials[[#This Row],[Material Type]]="Ligand","D13","D12"))</f>
        <v>D12</v>
      </c>
      <c r="AI32" s="369" t="str">
        <f ca="1">IF(RawMaterials[[#This Row],[Lab Quote Count]]&gt;1,10^RawMaterials[[#This Row],[Lab Log-Log Intercept]]*INDIRECT(RawMaterials[[#This Row],[Basis Cell]])^RawMaterials[[#This Row],[Lab Log-Log Slope]],"&gt;&gt;&gt; Enter 2 or more lab quotes &lt;&lt;&lt;")</f>
        <v>&gt;&gt;&gt; Enter 2 or more lab quotes &lt;&lt;&lt;</v>
      </c>
      <c r="AJ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1.115</v>
      </c>
      <c r="AL32" s="372">
        <f>IF(ISTEXT(RawMaterials[[#This Row],[Unit price in quote year]]),"Check calcs",RawMaterials[[#This Row],[Unit price in quote year]]/VLOOKUP(RawMaterials[[#This Row],[Quote Year]],ChemPPI[],14,FALSE)*VLOOKUP(BasisYear,ChemPPI[],14,FALSE))</f>
        <v>1.3050202665692898</v>
      </c>
      <c r="AM32" s="373" t="str">
        <f t="shared" si="0"/>
        <v>$/lb (2016)</v>
      </c>
    </row>
    <row r="33" spans="1:39">
      <c r="A33" s="263" t="s">
        <v>1141</v>
      </c>
      <c r="B33" s="264"/>
      <c r="C33" s="276"/>
      <c r="D33" s="270"/>
      <c r="E33" s="264">
        <v>100</v>
      </c>
      <c r="F33" s="264"/>
      <c r="G33" s="276"/>
      <c r="H33" s="276"/>
      <c r="I33" s="268"/>
      <c r="J33" s="276"/>
      <c r="K33" s="276"/>
      <c r="L33" s="276"/>
      <c r="M33" s="276"/>
      <c r="N33" s="276"/>
      <c r="O33" s="276"/>
      <c r="P33" s="265">
        <v>1.345</v>
      </c>
      <c r="Q33" s="264">
        <v>1</v>
      </c>
      <c r="R33" s="264" t="s">
        <v>20</v>
      </c>
      <c r="S33" s="264">
        <v>2008</v>
      </c>
      <c r="T33" s="266" t="s">
        <v>163</v>
      </c>
      <c r="U33" s="267">
        <v>42653</v>
      </c>
      <c r="V33" s="269"/>
      <c r="W33" s="366">
        <f>COUNT(RawMaterials[[#This Row],[Lab Quantity 1]:[Lab Quantity 4]])</f>
        <v>0</v>
      </c>
      <c r="X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 s="367" t="e">
        <f>RawMaterials[[#This Row],[Lab Price 1]]/RawMaterials[[#This Row],[Lab Q Model Units 1]]</f>
        <v>#N/A</v>
      </c>
      <c r="AC33" s="367" t="e">
        <f>RawMaterials[[#This Row],[Lab Price 2]]/RawMaterials[[#This Row],[Lab Q Model Units 2]]</f>
        <v>#N/A</v>
      </c>
      <c r="AD33" s="367" t="e">
        <f>RawMaterials[[#This Row],[Lab Price 3]]/RawMaterials[[#This Row],[Lab Q Model Units 3]]</f>
        <v>#N/A</v>
      </c>
      <c r="AE33" s="367" t="e">
        <f>RawMaterials[[#This Row],[Lab Price 4]]/RawMaterials[[#This Row],[Lab Q Model Units 4]]</f>
        <v>#N/A</v>
      </c>
      <c r="AF33" s="367" t="str">
        <f ca="1">IF(RawMaterials[[#This Row],[Lab Quote Count]]&gt;1,SLOPE(LOG(INDIRECT("RawMaterials[@[Lab Unit P 1]:[Lab Unit P "&amp;RawMaterials[[#This Row],[Lab Quote Count]]&amp;"]]")),LOG(INDIRECT("RawMaterials[@[Lab Q Model Units 1]:[Lab Q Model Units "&amp;RawMaterials[[#This Row],[Lab Quote Count]]&amp;"]]"))),"")</f>
        <v/>
      </c>
      <c r="AG33" s="367" t="str">
        <f ca="1">IF(RawMaterials[[#This Row],[Lab Quote Count]]&gt;1,INTERCEPT(LOG(INDIRECT("RawMaterials[@[Lab Unit P 1]:[Lab Unit P "&amp;RawMaterials[[#This Row],[Lab Quote Count]]&amp;"]]")),LOG(INDIRECT("RawMaterials[@[Lab Q Model Units 1]:[Lab Q Model Units "&amp;RawMaterials[[#This Row],[Lab Quote Count]]&amp;"]]"))),"")</f>
        <v/>
      </c>
      <c r="AH33" s="368" t="str">
        <f>IF(RawMaterials[[#This Row],[Material Type]]="Metal Precursor","D13",IF(RawMaterials[[#This Row],[Material Type]]="Ligand","D13","D12"))</f>
        <v>D12</v>
      </c>
      <c r="AI33" s="369" t="str">
        <f ca="1">IF(RawMaterials[[#This Row],[Lab Quote Count]]&gt;1,10^RawMaterials[[#This Row],[Lab Log-Log Intercept]]*INDIRECT(RawMaterials[[#This Row],[Basis Cell]])^RawMaterials[[#This Row],[Lab Log-Log Slope]],"&gt;&gt;&gt; Enter 2 or more lab quotes &lt;&lt;&lt;")</f>
        <v>&gt;&gt;&gt; Enter 2 or more lab quotes &lt;&lt;&lt;</v>
      </c>
      <c r="AJ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1.345</v>
      </c>
      <c r="AL33" s="372">
        <f>IF(ISTEXT(RawMaterials[[#This Row],[Unit price in quote year]]),"Check calcs",RawMaterials[[#This Row],[Unit price in quote year]]/VLOOKUP(RawMaterials[[#This Row],[Quote Year]],ChemPPI[],14,FALSE)*VLOOKUP(BasisYear,ChemPPI[],14,FALSE))</f>
        <v>1.5742172722293226</v>
      </c>
      <c r="AM33" s="373" t="str">
        <f t="shared" si="0"/>
        <v>$/lb (2016)</v>
      </c>
    </row>
    <row r="34" spans="1:39">
      <c r="A34" s="263" t="s">
        <v>1142</v>
      </c>
      <c r="B34" s="264"/>
      <c r="C34" s="276"/>
      <c r="D34" s="270"/>
      <c r="E34" s="264">
        <v>100</v>
      </c>
      <c r="F34" s="264"/>
      <c r="G34" s="276"/>
      <c r="H34" s="276"/>
      <c r="I34" s="268"/>
      <c r="J34" s="276"/>
      <c r="K34" s="276"/>
      <c r="L34" s="276"/>
      <c r="M34" s="276"/>
      <c r="N34" s="276"/>
      <c r="O34" s="276"/>
      <c r="P34" s="265">
        <v>1.23</v>
      </c>
      <c r="Q34" s="264">
        <v>1</v>
      </c>
      <c r="R34" s="264" t="s">
        <v>20</v>
      </c>
      <c r="S34" s="264">
        <v>2008</v>
      </c>
      <c r="T34" s="266" t="s">
        <v>163</v>
      </c>
      <c r="U34" s="267">
        <v>42653</v>
      </c>
      <c r="V34" s="269"/>
      <c r="W34" s="366">
        <f>COUNT(RawMaterials[[#This Row],[Lab Quantity 1]:[Lab Quantity 4]])</f>
        <v>0</v>
      </c>
      <c r="X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 s="367" t="e">
        <f>RawMaterials[[#This Row],[Lab Price 1]]/RawMaterials[[#This Row],[Lab Q Model Units 1]]</f>
        <v>#N/A</v>
      </c>
      <c r="AC34" s="367" t="e">
        <f>RawMaterials[[#This Row],[Lab Price 2]]/RawMaterials[[#This Row],[Lab Q Model Units 2]]</f>
        <v>#N/A</v>
      </c>
      <c r="AD34" s="367" t="e">
        <f>RawMaterials[[#This Row],[Lab Price 3]]/RawMaterials[[#This Row],[Lab Q Model Units 3]]</f>
        <v>#N/A</v>
      </c>
      <c r="AE34" s="367" t="e">
        <f>RawMaterials[[#This Row],[Lab Price 4]]/RawMaterials[[#This Row],[Lab Q Model Units 4]]</f>
        <v>#N/A</v>
      </c>
      <c r="AF34" s="367" t="str">
        <f ca="1">IF(RawMaterials[[#This Row],[Lab Quote Count]]&gt;1,SLOPE(LOG(INDIRECT("RawMaterials[@[Lab Unit P 1]:[Lab Unit P "&amp;RawMaterials[[#This Row],[Lab Quote Count]]&amp;"]]")),LOG(INDIRECT("RawMaterials[@[Lab Q Model Units 1]:[Lab Q Model Units "&amp;RawMaterials[[#This Row],[Lab Quote Count]]&amp;"]]"))),"")</f>
        <v/>
      </c>
      <c r="AG34" s="367" t="str">
        <f ca="1">IF(RawMaterials[[#This Row],[Lab Quote Count]]&gt;1,INTERCEPT(LOG(INDIRECT("RawMaterials[@[Lab Unit P 1]:[Lab Unit P "&amp;RawMaterials[[#This Row],[Lab Quote Count]]&amp;"]]")),LOG(INDIRECT("RawMaterials[@[Lab Q Model Units 1]:[Lab Q Model Units "&amp;RawMaterials[[#This Row],[Lab Quote Count]]&amp;"]]"))),"")</f>
        <v/>
      </c>
      <c r="AH34" s="368" t="str">
        <f>IF(RawMaterials[[#This Row],[Material Type]]="Metal Precursor","D13",IF(RawMaterials[[#This Row],[Material Type]]="Ligand","D13","D12"))</f>
        <v>D12</v>
      </c>
      <c r="AI34" s="369" t="str">
        <f ca="1">IF(RawMaterials[[#This Row],[Lab Quote Count]]&gt;1,10^RawMaterials[[#This Row],[Lab Log-Log Intercept]]*INDIRECT(RawMaterials[[#This Row],[Basis Cell]])^RawMaterials[[#This Row],[Lab Log-Log Slope]],"&gt;&gt;&gt; Enter 2 or more lab quotes &lt;&lt;&lt;")</f>
        <v>&gt;&gt;&gt; Enter 2 or more lab quotes &lt;&lt;&lt;</v>
      </c>
      <c r="AJ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v>
      </c>
      <c r="AL34" s="372">
        <f>IF(ISTEXT(RawMaterials[[#This Row],[Unit price in quote year]]),"Check calcs",RawMaterials[[#This Row],[Unit price in quote year]]/VLOOKUP(RawMaterials[[#This Row],[Quote Year]],ChemPPI[],14,FALSE)*VLOOKUP(BasisYear,ChemPPI[],14,FALSE))</f>
        <v>1.4396187693993061</v>
      </c>
      <c r="AM34" s="373" t="str">
        <f t="shared" si="0"/>
        <v>$/lb (2016)</v>
      </c>
    </row>
    <row r="35" spans="1:39">
      <c r="A35" s="263" t="s">
        <v>1143</v>
      </c>
      <c r="B35" s="264"/>
      <c r="C35" s="276"/>
      <c r="D35" s="270"/>
      <c r="E35" s="264">
        <v>100</v>
      </c>
      <c r="F35" s="264"/>
      <c r="G35" s="276"/>
      <c r="H35" s="276"/>
      <c r="I35" s="268"/>
      <c r="J35" s="276"/>
      <c r="K35" s="276"/>
      <c r="L35" s="276"/>
      <c r="M35" s="276"/>
      <c r="N35" s="276"/>
      <c r="O35" s="276"/>
      <c r="P35" s="265">
        <v>1.18</v>
      </c>
      <c r="Q35" s="264">
        <v>1</v>
      </c>
      <c r="R35" s="264" t="s">
        <v>20</v>
      </c>
      <c r="S35" s="264">
        <v>2008</v>
      </c>
      <c r="T35" s="266" t="s">
        <v>163</v>
      </c>
      <c r="U35" s="267">
        <v>42653</v>
      </c>
      <c r="V35" s="269"/>
      <c r="W35" s="366">
        <f>COUNT(RawMaterials[[#This Row],[Lab Quantity 1]:[Lab Quantity 4]])</f>
        <v>0</v>
      </c>
      <c r="X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 s="367" t="e">
        <f>RawMaterials[[#This Row],[Lab Price 1]]/RawMaterials[[#This Row],[Lab Q Model Units 1]]</f>
        <v>#N/A</v>
      </c>
      <c r="AC35" s="367" t="e">
        <f>RawMaterials[[#This Row],[Lab Price 2]]/RawMaterials[[#This Row],[Lab Q Model Units 2]]</f>
        <v>#N/A</v>
      </c>
      <c r="AD35" s="367" t="e">
        <f>RawMaterials[[#This Row],[Lab Price 3]]/RawMaterials[[#This Row],[Lab Q Model Units 3]]</f>
        <v>#N/A</v>
      </c>
      <c r="AE35" s="367" t="e">
        <f>RawMaterials[[#This Row],[Lab Price 4]]/RawMaterials[[#This Row],[Lab Q Model Units 4]]</f>
        <v>#N/A</v>
      </c>
      <c r="AF35" s="367" t="str">
        <f ca="1">IF(RawMaterials[[#This Row],[Lab Quote Count]]&gt;1,SLOPE(LOG(INDIRECT("RawMaterials[@[Lab Unit P 1]:[Lab Unit P "&amp;RawMaterials[[#This Row],[Lab Quote Count]]&amp;"]]")),LOG(INDIRECT("RawMaterials[@[Lab Q Model Units 1]:[Lab Q Model Units "&amp;RawMaterials[[#This Row],[Lab Quote Count]]&amp;"]]"))),"")</f>
        <v/>
      </c>
      <c r="AG35" s="367" t="str">
        <f ca="1">IF(RawMaterials[[#This Row],[Lab Quote Count]]&gt;1,INTERCEPT(LOG(INDIRECT("RawMaterials[@[Lab Unit P 1]:[Lab Unit P "&amp;RawMaterials[[#This Row],[Lab Quote Count]]&amp;"]]")),LOG(INDIRECT("RawMaterials[@[Lab Q Model Units 1]:[Lab Q Model Units "&amp;RawMaterials[[#This Row],[Lab Quote Count]]&amp;"]]"))),"")</f>
        <v/>
      </c>
      <c r="AH35" s="368" t="str">
        <f>IF(RawMaterials[[#This Row],[Material Type]]="Metal Precursor","D13",IF(RawMaterials[[#This Row],[Material Type]]="Ligand","D13","D12"))</f>
        <v>D12</v>
      </c>
      <c r="AI35" s="369" t="str">
        <f ca="1">IF(RawMaterials[[#This Row],[Lab Quote Count]]&gt;1,10^RawMaterials[[#This Row],[Lab Log-Log Intercept]]*INDIRECT(RawMaterials[[#This Row],[Basis Cell]])^RawMaterials[[#This Row],[Lab Log-Log Slope]],"&gt;&gt;&gt; Enter 2 or more lab quotes &lt;&lt;&lt;")</f>
        <v>&gt;&gt;&gt; Enter 2 or more lab quotes &lt;&lt;&lt;</v>
      </c>
      <c r="AJ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1.18</v>
      </c>
      <c r="AL35" s="372">
        <f>IF(ISTEXT(RawMaterials[[#This Row],[Unit price in quote year]]),"Check calcs",RawMaterials[[#This Row],[Unit price in quote year]]/VLOOKUP(RawMaterials[[#This Row],[Quote Year]],ChemPPI[],14,FALSE)*VLOOKUP(BasisYear,ChemPPI[],14,FALSE))</f>
        <v>1.3810976812123426</v>
      </c>
      <c r="AM35" s="373" t="str">
        <f t="shared" si="0"/>
        <v>$/lb (2016)</v>
      </c>
    </row>
    <row r="36" spans="1:39">
      <c r="A36" s="263" t="s">
        <v>1144</v>
      </c>
      <c r="B36" s="264"/>
      <c r="C36" s="276"/>
      <c r="D36" s="270"/>
      <c r="E36" s="264">
        <v>100</v>
      </c>
      <c r="F36" s="264"/>
      <c r="G36" s="276"/>
      <c r="H36" s="276"/>
      <c r="I36" s="268"/>
      <c r="J36" s="276"/>
      <c r="K36" s="276"/>
      <c r="L36" s="276"/>
      <c r="M36" s="276"/>
      <c r="N36" s="276"/>
      <c r="O36" s="276"/>
      <c r="P36" s="265">
        <v>1.0049999999999999</v>
      </c>
      <c r="Q36" s="264">
        <v>1</v>
      </c>
      <c r="R36" s="264" t="s">
        <v>20</v>
      </c>
      <c r="S36" s="264">
        <v>2008</v>
      </c>
      <c r="T36" s="266" t="s">
        <v>163</v>
      </c>
      <c r="U36" s="267">
        <v>42653</v>
      </c>
      <c r="V36" s="269"/>
      <c r="W36" s="366">
        <f>COUNT(RawMaterials[[#This Row],[Lab Quantity 1]:[Lab Quantity 4]])</f>
        <v>0</v>
      </c>
      <c r="X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 s="367" t="e">
        <f>RawMaterials[[#This Row],[Lab Price 1]]/RawMaterials[[#This Row],[Lab Q Model Units 1]]</f>
        <v>#N/A</v>
      </c>
      <c r="AC36" s="367" t="e">
        <f>RawMaterials[[#This Row],[Lab Price 2]]/RawMaterials[[#This Row],[Lab Q Model Units 2]]</f>
        <v>#N/A</v>
      </c>
      <c r="AD36" s="367" t="e">
        <f>RawMaterials[[#This Row],[Lab Price 3]]/RawMaterials[[#This Row],[Lab Q Model Units 3]]</f>
        <v>#N/A</v>
      </c>
      <c r="AE36" s="367" t="e">
        <f>RawMaterials[[#This Row],[Lab Price 4]]/RawMaterials[[#This Row],[Lab Q Model Units 4]]</f>
        <v>#N/A</v>
      </c>
      <c r="AF36" s="367" t="str">
        <f ca="1">IF(RawMaterials[[#This Row],[Lab Quote Count]]&gt;1,SLOPE(LOG(INDIRECT("RawMaterials[@[Lab Unit P 1]:[Lab Unit P "&amp;RawMaterials[[#This Row],[Lab Quote Count]]&amp;"]]")),LOG(INDIRECT("RawMaterials[@[Lab Q Model Units 1]:[Lab Q Model Units "&amp;RawMaterials[[#This Row],[Lab Quote Count]]&amp;"]]"))),"")</f>
        <v/>
      </c>
      <c r="AG36" s="367" t="str">
        <f ca="1">IF(RawMaterials[[#This Row],[Lab Quote Count]]&gt;1,INTERCEPT(LOG(INDIRECT("RawMaterials[@[Lab Unit P 1]:[Lab Unit P "&amp;RawMaterials[[#This Row],[Lab Quote Count]]&amp;"]]")),LOG(INDIRECT("RawMaterials[@[Lab Q Model Units 1]:[Lab Q Model Units "&amp;RawMaterials[[#This Row],[Lab Quote Count]]&amp;"]]"))),"")</f>
        <v/>
      </c>
      <c r="AH36" s="368" t="str">
        <f>IF(RawMaterials[[#This Row],[Material Type]]="Metal Precursor","D13",IF(RawMaterials[[#This Row],[Material Type]]="Ligand","D13","D12"))</f>
        <v>D12</v>
      </c>
      <c r="AI36" s="369" t="str">
        <f ca="1">IF(RawMaterials[[#This Row],[Lab Quote Count]]&gt;1,10^RawMaterials[[#This Row],[Lab Log-Log Intercept]]*INDIRECT(RawMaterials[[#This Row],[Basis Cell]])^RawMaterials[[#This Row],[Lab Log-Log Slope]],"&gt;&gt;&gt; Enter 2 or more lab quotes &lt;&lt;&lt;")</f>
        <v>&gt;&gt;&gt; Enter 2 or more lab quotes &lt;&lt;&lt;</v>
      </c>
      <c r="AJ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1.0049999999999999</v>
      </c>
      <c r="AL36" s="372">
        <f>IF(ISTEXT(RawMaterials[[#This Row],[Unit price in quote year]]),"Check calcs",RawMaterials[[#This Row],[Unit price in quote year]]/VLOOKUP(RawMaterials[[#This Row],[Quote Year]],ChemPPI[],14,FALSE)*VLOOKUP(BasisYear,ChemPPI[],14,FALSE))</f>
        <v>1.1762738725579696</v>
      </c>
      <c r="AM36" s="373" t="str">
        <f t="shared" si="0"/>
        <v>$/lb (2016)</v>
      </c>
    </row>
    <row r="37" spans="1:39">
      <c r="A37" s="263" t="s">
        <v>1145</v>
      </c>
      <c r="B37" s="264"/>
      <c r="C37" s="276"/>
      <c r="D37" s="270"/>
      <c r="E37" s="264">
        <v>100</v>
      </c>
      <c r="F37" s="264"/>
      <c r="G37" s="276"/>
      <c r="H37" s="276"/>
      <c r="I37" s="268"/>
      <c r="J37" s="276"/>
      <c r="K37" s="276"/>
      <c r="L37" s="276"/>
      <c r="M37" s="276"/>
      <c r="N37" s="276"/>
      <c r="O37" s="276"/>
      <c r="P37" s="265">
        <v>0.92999999999999905</v>
      </c>
      <c r="Q37" s="264">
        <v>1</v>
      </c>
      <c r="R37" s="264" t="s">
        <v>20</v>
      </c>
      <c r="S37" s="264">
        <v>2008</v>
      </c>
      <c r="T37" s="266" t="s">
        <v>163</v>
      </c>
      <c r="U37" s="267">
        <v>42653</v>
      </c>
      <c r="V37" s="269"/>
      <c r="W37" s="366">
        <f>COUNT(RawMaterials[[#This Row],[Lab Quantity 1]:[Lab Quantity 4]])</f>
        <v>0</v>
      </c>
      <c r="X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 s="367" t="e">
        <f>RawMaterials[[#This Row],[Lab Price 1]]/RawMaterials[[#This Row],[Lab Q Model Units 1]]</f>
        <v>#N/A</v>
      </c>
      <c r="AC37" s="367" t="e">
        <f>RawMaterials[[#This Row],[Lab Price 2]]/RawMaterials[[#This Row],[Lab Q Model Units 2]]</f>
        <v>#N/A</v>
      </c>
      <c r="AD37" s="367" t="e">
        <f>RawMaterials[[#This Row],[Lab Price 3]]/RawMaterials[[#This Row],[Lab Q Model Units 3]]</f>
        <v>#N/A</v>
      </c>
      <c r="AE37" s="367" t="e">
        <f>RawMaterials[[#This Row],[Lab Price 4]]/RawMaterials[[#This Row],[Lab Q Model Units 4]]</f>
        <v>#N/A</v>
      </c>
      <c r="AF37" s="367" t="str">
        <f ca="1">IF(RawMaterials[[#This Row],[Lab Quote Count]]&gt;1,SLOPE(LOG(INDIRECT("RawMaterials[@[Lab Unit P 1]:[Lab Unit P "&amp;RawMaterials[[#This Row],[Lab Quote Count]]&amp;"]]")),LOG(INDIRECT("RawMaterials[@[Lab Q Model Units 1]:[Lab Q Model Units "&amp;RawMaterials[[#This Row],[Lab Quote Count]]&amp;"]]"))),"")</f>
        <v/>
      </c>
      <c r="AG37" s="367" t="str">
        <f ca="1">IF(RawMaterials[[#This Row],[Lab Quote Count]]&gt;1,INTERCEPT(LOG(INDIRECT("RawMaterials[@[Lab Unit P 1]:[Lab Unit P "&amp;RawMaterials[[#This Row],[Lab Quote Count]]&amp;"]]")),LOG(INDIRECT("RawMaterials[@[Lab Q Model Units 1]:[Lab Q Model Units "&amp;RawMaterials[[#This Row],[Lab Quote Count]]&amp;"]]"))),"")</f>
        <v/>
      </c>
      <c r="AH37" s="368" t="str">
        <f>IF(RawMaterials[[#This Row],[Material Type]]="Metal Precursor","D13",IF(RawMaterials[[#This Row],[Material Type]]="Ligand","D13","D12"))</f>
        <v>D12</v>
      </c>
      <c r="AI37" s="369" t="str">
        <f ca="1">IF(RawMaterials[[#This Row],[Lab Quote Count]]&gt;1,10^RawMaterials[[#This Row],[Lab Log-Log Intercept]]*INDIRECT(RawMaterials[[#This Row],[Basis Cell]])^RawMaterials[[#This Row],[Lab Log-Log Slope]],"&gt;&gt;&gt; Enter 2 or more lab quotes &lt;&lt;&lt;")</f>
        <v>&gt;&gt;&gt; Enter 2 or more lab quotes &lt;&lt;&lt;</v>
      </c>
      <c r="AJ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0.92999999999999905</v>
      </c>
      <c r="AL37" s="372">
        <f>IF(ISTEXT(RawMaterials[[#This Row],[Unit price in quote year]]),"Check calcs",RawMaterials[[#This Row],[Unit price in quote year]]/VLOOKUP(RawMaterials[[#This Row],[Quote Year]],ChemPPI[],14,FALSE)*VLOOKUP(BasisYear,ChemPPI[],14,FALSE))</f>
        <v>1.088492240277523</v>
      </c>
      <c r="AM37" s="373" t="str">
        <f t="shared" si="0"/>
        <v>$/lb (2016)</v>
      </c>
    </row>
    <row r="38" spans="1:39">
      <c r="A38" s="263" t="s">
        <v>1146</v>
      </c>
      <c r="B38" s="264"/>
      <c r="C38" s="276"/>
      <c r="D38" s="270"/>
      <c r="E38" s="264">
        <v>100</v>
      </c>
      <c r="F38" s="264"/>
      <c r="G38" s="276"/>
      <c r="H38" s="276"/>
      <c r="I38" s="268"/>
      <c r="J38" s="276"/>
      <c r="K38" s="276"/>
      <c r="L38" s="276"/>
      <c r="M38" s="276"/>
      <c r="N38" s="276"/>
      <c r="O38" s="276"/>
      <c r="P38" s="265">
        <v>0.87</v>
      </c>
      <c r="Q38" s="264">
        <v>1</v>
      </c>
      <c r="R38" s="264" t="s">
        <v>20</v>
      </c>
      <c r="S38" s="264">
        <v>2008</v>
      </c>
      <c r="T38" s="266" t="s">
        <v>163</v>
      </c>
      <c r="U38" s="267">
        <v>42653</v>
      </c>
      <c r="V38" s="269"/>
      <c r="W38" s="366">
        <f>COUNT(RawMaterials[[#This Row],[Lab Quantity 1]:[Lab Quantity 4]])</f>
        <v>0</v>
      </c>
      <c r="X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 s="367" t="e">
        <f>RawMaterials[[#This Row],[Lab Price 1]]/RawMaterials[[#This Row],[Lab Q Model Units 1]]</f>
        <v>#N/A</v>
      </c>
      <c r="AC38" s="367" t="e">
        <f>RawMaterials[[#This Row],[Lab Price 2]]/RawMaterials[[#This Row],[Lab Q Model Units 2]]</f>
        <v>#N/A</v>
      </c>
      <c r="AD38" s="367" t="e">
        <f>RawMaterials[[#This Row],[Lab Price 3]]/RawMaterials[[#This Row],[Lab Q Model Units 3]]</f>
        <v>#N/A</v>
      </c>
      <c r="AE38" s="367" t="e">
        <f>RawMaterials[[#This Row],[Lab Price 4]]/RawMaterials[[#This Row],[Lab Q Model Units 4]]</f>
        <v>#N/A</v>
      </c>
      <c r="AF38" s="367" t="str">
        <f ca="1">IF(RawMaterials[[#This Row],[Lab Quote Count]]&gt;1,SLOPE(LOG(INDIRECT("RawMaterials[@[Lab Unit P 1]:[Lab Unit P "&amp;RawMaterials[[#This Row],[Lab Quote Count]]&amp;"]]")),LOG(INDIRECT("RawMaterials[@[Lab Q Model Units 1]:[Lab Q Model Units "&amp;RawMaterials[[#This Row],[Lab Quote Count]]&amp;"]]"))),"")</f>
        <v/>
      </c>
      <c r="AG38" s="367" t="str">
        <f ca="1">IF(RawMaterials[[#This Row],[Lab Quote Count]]&gt;1,INTERCEPT(LOG(INDIRECT("RawMaterials[@[Lab Unit P 1]:[Lab Unit P "&amp;RawMaterials[[#This Row],[Lab Quote Count]]&amp;"]]")),LOG(INDIRECT("RawMaterials[@[Lab Q Model Units 1]:[Lab Q Model Units "&amp;RawMaterials[[#This Row],[Lab Quote Count]]&amp;"]]"))),"")</f>
        <v/>
      </c>
      <c r="AH38" s="368" t="str">
        <f>IF(RawMaterials[[#This Row],[Material Type]]="Metal Precursor","D13",IF(RawMaterials[[#This Row],[Material Type]]="Ligand","D13","D12"))</f>
        <v>D12</v>
      </c>
      <c r="AI38" s="369" t="str">
        <f ca="1">IF(RawMaterials[[#This Row],[Lab Quote Count]]&gt;1,10^RawMaterials[[#This Row],[Lab Log-Log Intercept]]*INDIRECT(RawMaterials[[#This Row],[Basis Cell]])^RawMaterials[[#This Row],[Lab Log-Log Slope]],"&gt;&gt;&gt; Enter 2 or more lab quotes &lt;&lt;&lt;")</f>
        <v>&gt;&gt;&gt; Enter 2 or more lab quotes &lt;&lt;&lt;</v>
      </c>
      <c r="AJ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38" s="372">
        <f>IF(ISTEXT(RawMaterials[[#This Row],[Unit price in quote year]]),"Check calcs",RawMaterials[[#This Row],[Unit price in quote year]]/VLOOKUP(RawMaterials[[#This Row],[Quote Year]],ChemPPI[],14,FALSE)*VLOOKUP(BasisYear,ChemPPI[],14,FALSE))</f>
        <v>1.0182669344531678</v>
      </c>
      <c r="AM38" s="373" t="str">
        <f t="shared" si="0"/>
        <v>$/lb (2016)</v>
      </c>
    </row>
    <row r="39" spans="1:39">
      <c r="A39" s="263" t="s">
        <v>1147</v>
      </c>
      <c r="B39" s="264"/>
      <c r="C39" s="276"/>
      <c r="D39" s="270"/>
      <c r="E39" s="264">
        <v>100</v>
      </c>
      <c r="F39" s="264"/>
      <c r="G39" s="276"/>
      <c r="H39" s="276"/>
      <c r="I39" s="268"/>
      <c r="J39" s="276"/>
      <c r="K39" s="276"/>
      <c r="L39" s="276"/>
      <c r="M39" s="276"/>
      <c r="N39" s="276"/>
      <c r="O39" s="276"/>
      <c r="P39" s="265">
        <v>1.105</v>
      </c>
      <c r="Q39" s="264">
        <v>1</v>
      </c>
      <c r="R39" s="264" t="s">
        <v>20</v>
      </c>
      <c r="S39" s="264">
        <v>2008</v>
      </c>
      <c r="T39" s="266" t="s">
        <v>163</v>
      </c>
      <c r="U39" s="267">
        <v>42653</v>
      </c>
      <c r="V39" s="269"/>
      <c r="W39" s="366">
        <f>COUNT(RawMaterials[[#This Row],[Lab Quantity 1]:[Lab Quantity 4]])</f>
        <v>0</v>
      </c>
      <c r="X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 s="367" t="e">
        <f>RawMaterials[[#This Row],[Lab Price 1]]/RawMaterials[[#This Row],[Lab Q Model Units 1]]</f>
        <v>#N/A</v>
      </c>
      <c r="AC39" s="367" t="e">
        <f>RawMaterials[[#This Row],[Lab Price 2]]/RawMaterials[[#This Row],[Lab Q Model Units 2]]</f>
        <v>#N/A</v>
      </c>
      <c r="AD39" s="367" t="e">
        <f>RawMaterials[[#This Row],[Lab Price 3]]/RawMaterials[[#This Row],[Lab Q Model Units 3]]</f>
        <v>#N/A</v>
      </c>
      <c r="AE39" s="367" t="e">
        <f>RawMaterials[[#This Row],[Lab Price 4]]/RawMaterials[[#This Row],[Lab Q Model Units 4]]</f>
        <v>#N/A</v>
      </c>
      <c r="AF39" s="367" t="str">
        <f ca="1">IF(RawMaterials[[#This Row],[Lab Quote Count]]&gt;1,SLOPE(LOG(INDIRECT("RawMaterials[@[Lab Unit P 1]:[Lab Unit P "&amp;RawMaterials[[#This Row],[Lab Quote Count]]&amp;"]]")),LOG(INDIRECT("RawMaterials[@[Lab Q Model Units 1]:[Lab Q Model Units "&amp;RawMaterials[[#This Row],[Lab Quote Count]]&amp;"]]"))),"")</f>
        <v/>
      </c>
      <c r="AG39" s="367" t="str">
        <f ca="1">IF(RawMaterials[[#This Row],[Lab Quote Count]]&gt;1,INTERCEPT(LOG(INDIRECT("RawMaterials[@[Lab Unit P 1]:[Lab Unit P "&amp;RawMaterials[[#This Row],[Lab Quote Count]]&amp;"]]")),LOG(INDIRECT("RawMaterials[@[Lab Q Model Units 1]:[Lab Q Model Units "&amp;RawMaterials[[#This Row],[Lab Quote Count]]&amp;"]]"))),"")</f>
        <v/>
      </c>
      <c r="AH39" s="368" t="str">
        <f>IF(RawMaterials[[#This Row],[Material Type]]="Metal Precursor","D13",IF(RawMaterials[[#This Row],[Material Type]]="Ligand","D13","D12"))</f>
        <v>D12</v>
      </c>
      <c r="AI39" s="369" t="str">
        <f ca="1">IF(RawMaterials[[#This Row],[Lab Quote Count]]&gt;1,10^RawMaterials[[#This Row],[Lab Log-Log Intercept]]*INDIRECT(RawMaterials[[#This Row],[Basis Cell]])^RawMaterials[[#This Row],[Lab Log-Log Slope]],"&gt;&gt;&gt; Enter 2 or more lab quotes &lt;&lt;&lt;")</f>
        <v>&gt;&gt;&gt; Enter 2 or more lab quotes &lt;&lt;&lt;</v>
      </c>
      <c r="AJ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1.105</v>
      </c>
      <c r="AL39" s="372">
        <f>IF(ISTEXT(RawMaterials[[#This Row],[Unit price in quote year]]),"Check calcs",RawMaterials[[#This Row],[Unit price in quote year]]/VLOOKUP(RawMaterials[[#This Row],[Quote Year]],ChemPPI[],14,FALSE)*VLOOKUP(BasisYear,ChemPPI[],14,FALSE))</f>
        <v>1.2933160489318969</v>
      </c>
      <c r="AM39" s="373" t="str">
        <f t="shared" si="0"/>
        <v>$/lb (2016)</v>
      </c>
    </row>
    <row r="40" spans="1:39">
      <c r="A40" s="263" t="s">
        <v>1148</v>
      </c>
      <c r="B40" s="264"/>
      <c r="C40" s="276"/>
      <c r="D40" s="270"/>
      <c r="E40" s="264">
        <v>100</v>
      </c>
      <c r="F40" s="264"/>
      <c r="G40" s="276"/>
      <c r="H40" s="276"/>
      <c r="I40" s="268"/>
      <c r="J40" s="276"/>
      <c r="K40" s="276"/>
      <c r="L40" s="276"/>
      <c r="M40" s="276"/>
      <c r="N40" s="276"/>
      <c r="O40" s="276"/>
      <c r="P40" s="265">
        <v>1.39</v>
      </c>
      <c r="Q40" s="264">
        <v>1</v>
      </c>
      <c r="R40" s="264" t="s">
        <v>20</v>
      </c>
      <c r="S40" s="264">
        <v>2008</v>
      </c>
      <c r="T40" s="266" t="s">
        <v>163</v>
      </c>
      <c r="U40" s="267">
        <v>42653</v>
      </c>
      <c r="V40" s="269"/>
      <c r="W40" s="366">
        <f>COUNT(RawMaterials[[#This Row],[Lab Quantity 1]:[Lab Quantity 4]])</f>
        <v>0</v>
      </c>
      <c r="X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 s="367" t="e">
        <f>RawMaterials[[#This Row],[Lab Price 1]]/RawMaterials[[#This Row],[Lab Q Model Units 1]]</f>
        <v>#N/A</v>
      </c>
      <c r="AC40" s="367" t="e">
        <f>RawMaterials[[#This Row],[Lab Price 2]]/RawMaterials[[#This Row],[Lab Q Model Units 2]]</f>
        <v>#N/A</v>
      </c>
      <c r="AD40" s="367" t="e">
        <f>RawMaterials[[#This Row],[Lab Price 3]]/RawMaterials[[#This Row],[Lab Q Model Units 3]]</f>
        <v>#N/A</v>
      </c>
      <c r="AE40" s="367" t="e">
        <f>RawMaterials[[#This Row],[Lab Price 4]]/RawMaterials[[#This Row],[Lab Q Model Units 4]]</f>
        <v>#N/A</v>
      </c>
      <c r="AF40" s="367" t="str">
        <f ca="1">IF(RawMaterials[[#This Row],[Lab Quote Count]]&gt;1,SLOPE(LOG(INDIRECT("RawMaterials[@[Lab Unit P 1]:[Lab Unit P "&amp;RawMaterials[[#This Row],[Lab Quote Count]]&amp;"]]")),LOG(INDIRECT("RawMaterials[@[Lab Q Model Units 1]:[Lab Q Model Units "&amp;RawMaterials[[#This Row],[Lab Quote Count]]&amp;"]]"))),"")</f>
        <v/>
      </c>
      <c r="AG40" s="367" t="str">
        <f ca="1">IF(RawMaterials[[#This Row],[Lab Quote Count]]&gt;1,INTERCEPT(LOG(INDIRECT("RawMaterials[@[Lab Unit P 1]:[Lab Unit P "&amp;RawMaterials[[#This Row],[Lab Quote Count]]&amp;"]]")),LOG(INDIRECT("RawMaterials[@[Lab Q Model Units 1]:[Lab Q Model Units "&amp;RawMaterials[[#This Row],[Lab Quote Count]]&amp;"]]"))),"")</f>
        <v/>
      </c>
      <c r="AH40" s="368" t="str">
        <f>IF(RawMaterials[[#This Row],[Material Type]]="Metal Precursor","D13",IF(RawMaterials[[#This Row],[Material Type]]="Ligand","D13","D12"))</f>
        <v>D12</v>
      </c>
      <c r="AI40" s="369" t="str">
        <f ca="1">IF(RawMaterials[[#This Row],[Lab Quote Count]]&gt;1,10^RawMaterials[[#This Row],[Lab Log-Log Intercept]]*INDIRECT(RawMaterials[[#This Row],[Basis Cell]])^RawMaterials[[#This Row],[Lab Log-Log Slope]],"&gt;&gt;&gt; Enter 2 or more lab quotes &lt;&lt;&lt;")</f>
        <v>&gt;&gt;&gt; Enter 2 or more lab quotes &lt;&lt;&lt;</v>
      </c>
      <c r="AJ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1.39</v>
      </c>
      <c r="AL40" s="372">
        <f>IF(ISTEXT(RawMaterials[[#This Row],[Unit price in quote year]]),"Check calcs",RawMaterials[[#This Row],[Unit price in quote year]]/VLOOKUP(RawMaterials[[#This Row],[Quote Year]],ChemPPI[],14,FALSE)*VLOOKUP(BasisYear,ChemPPI[],14,FALSE))</f>
        <v>1.6268862515975899</v>
      </c>
      <c r="AM40" s="373" t="str">
        <f t="shared" si="0"/>
        <v>$/lb (2016)</v>
      </c>
    </row>
    <row r="41" spans="1:39">
      <c r="A41" s="263" t="s">
        <v>1149</v>
      </c>
      <c r="B41" s="264"/>
      <c r="C41" s="276"/>
      <c r="D41" s="270"/>
      <c r="E41" s="264">
        <v>100</v>
      </c>
      <c r="F41" s="264"/>
      <c r="G41" s="276"/>
      <c r="H41" s="276"/>
      <c r="I41" s="268"/>
      <c r="J41" s="276"/>
      <c r="K41" s="276"/>
      <c r="L41" s="276"/>
      <c r="M41" s="276"/>
      <c r="N41" s="276"/>
      <c r="O41" s="276"/>
      <c r="P41" s="265">
        <v>1.2749999999999999</v>
      </c>
      <c r="Q41" s="264">
        <v>1</v>
      </c>
      <c r="R41" s="264" t="s">
        <v>20</v>
      </c>
      <c r="S41" s="264">
        <v>2008</v>
      </c>
      <c r="T41" s="266" t="s">
        <v>163</v>
      </c>
      <c r="U41" s="267">
        <v>42653</v>
      </c>
      <c r="V41" s="269"/>
      <c r="W41" s="366">
        <f>COUNT(RawMaterials[[#This Row],[Lab Quantity 1]:[Lab Quantity 4]])</f>
        <v>0</v>
      </c>
      <c r="X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 s="367" t="e">
        <f>RawMaterials[[#This Row],[Lab Price 1]]/RawMaterials[[#This Row],[Lab Q Model Units 1]]</f>
        <v>#N/A</v>
      </c>
      <c r="AC41" s="367" t="e">
        <f>RawMaterials[[#This Row],[Lab Price 2]]/RawMaterials[[#This Row],[Lab Q Model Units 2]]</f>
        <v>#N/A</v>
      </c>
      <c r="AD41" s="367" t="e">
        <f>RawMaterials[[#This Row],[Lab Price 3]]/RawMaterials[[#This Row],[Lab Q Model Units 3]]</f>
        <v>#N/A</v>
      </c>
      <c r="AE41" s="367" t="e">
        <f>RawMaterials[[#This Row],[Lab Price 4]]/RawMaterials[[#This Row],[Lab Q Model Units 4]]</f>
        <v>#N/A</v>
      </c>
      <c r="AF41" s="367" t="str">
        <f ca="1">IF(RawMaterials[[#This Row],[Lab Quote Count]]&gt;1,SLOPE(LOG(INDIRECT("RawMaterials[@[Lab Unit P 1]:[Lab Unit P "&amp;RawMaterials[[#This Row],[Lab Quote Count]]&amp;"]]")),LOG(INDIRECT("RawMaterials[@[Lab Q Model Units 1]:[Lab Q Model Units "&amp;RawMaterials[[#This Row],[Lab Quote Count]]&amp;"]]"))),"")</f>
        <v/>
      </c>
      <c r="AG41" s="367" t="str">
        <f ca="1">IF(RawMaterials[[#This Row],[Lab Quote Count]]&gt;1,INTERCEPT(LOG(INDIRECT("RawMaterials[@[Lab Unit P 1]:[Lab Unit P "&amp;RawMaterials[[#This Row],[Lab Quote Count]]&amp;"]]")),LOG(INDIRECT("RawMaterials[@[Lab Q Model Units 1]:[Lab Q Model Units "&amp;RawMaterials[[#This Row],[Lab Quote Count]]&amp;"]]"))),"")</f>
        <v/>
      </c>
      <c r="AH41" s="368" t="str">
        <f>IF(RawMaterials[[#This Row],[Material Type]]="Metal Precursor","D13",IF(RawMaterials[[#This Row],[Material Type]]="Ligand","D13","D12"))</f>
        <v>D12</v>
      </c>
      <c r="AI41" s="369" t="str">
        <f ca="1">IF(RawMaterials[[#This Row],[Lab Quote Count]]&gt;1,10^RawMaterials[[#This Row],[Lab Log-Log Intercept]]*INDIRECT(RawMaterials[[#This Row],[Basis Cell]])^RawMaterials[[#This Row],[Lab Log-Log Slope]],"&gt;&gt;&gt; Enter 2 or more lab quotes &lt;&lt;&lt;")</f>
        <v>&gt;&gt;&gt; Enter 2 or more lab quotes &lt;&lt;&lt;</v>
      </c>
      <c r="AJ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41" s="372">
        <f>IF(ISTEXT(RawMaterials[[#This Row],[Unit price in quote year]]),"Check calcs",RawMaterials[[#This Row],[Unit price in quote year]]/VLOOKUP(RawMaterials[[#This Row],[Quote Year]],ChemPPI[],14,FALSE)*VLOOKUP(BasisYear,ChemPPI[],14,FALSE))</f>
        <v>1.4922877487675734</v>
      </c>
      <c r="AM41" s="373" t="str">
        <f t="shared" si="0"/>
        <v>$/lb (2016)</v>
      </c>
    </row>
    <row r="42" spans="1:39">
      <c r="A42" s="263" t="s">
        <v>1150</v>
      </c>
      <c r="B42" s="264"/>
      <c r="C42" s="276"/>
      <c r="D42" s="270"/>
      <c r="E42" s="264">
        <v>100</v>
      </c>
      <c r="F42" s="264"/>
      <c r="G42" s="276"/>
      <c r="H42" s="276"/>
      <c r="I42" s="268"/>
      <c r="J42" s="276"/>
      <c r="K42" s="276"/>
      <c r="L42" s="276"/>
      <c r="M42" s="276"/>
      <c r="N42" s="276"/>
      <c r="O42" s="276"/>
      <c r="P42" s="265">
        <v>1.2849999999999999</v>
      </c>
      <c r="Q42" s="264">
        <v>1</v>
      </c>
      <c r="R42" s="264" t="s">
        <v>20</v>
      </c>
      <c r="S42" s="264">
        <v>2008</v>
      </c>
      <c r="T42" s="266" t="s">
        <v>163</v>
      </c>
      <c r="U42" s="267">
        <v>42653</v>
      </c>
      <c r="V42" s="269"/>
      <c r="W42" s="366">
        <f>COUNT(RawMaterials[[#This Row],[Lab Quantity 1]:[Lab Quantity 4]])</f>
        <v>0</v>
      </c>
      <c r="X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 s="367" t="e">
        <f>RawMaterials[[#This Row],[Lab Price 1]]/RawMaterials[[#This Row],[Lab Q Model Units 1]]</f>
        <v>#N/A</v>
      </c>
      <c r="AC42" s="367" t="e">
        <f>RawMaterials[[#This Row],[Lab Price 2]]/RawMaterials[[#This Row],[Lab Q Model Units 2]]</f>
        <v>#N/A</v>
      </c>
      <c r="AD42" s="367" t="e">
        <f>RawMaterials[[#This Row],[Lab Price 3]]/RawMaterials[[#This Row],[Lab Q Model Units 3]]</f>
        <v>#N/A</v>
      </c>
      <c r="AE42" s="367" t="e">
        <f>RawMaterials[[#This Row],[Lab Price 4]]/RawMaterials[[#This Row],[Lab Q Model Units 4]]</f>
        <v>#N/A</v>
      </c>
      <c r="AF42" s="367" t="str">
        <f ca="1">IF(RawMaterials[[#This Row],[Lab Quote Count]]&gt;1,SLOPE(LOG(INDIRECT("RawMaterials[@[Lab Unit P 1]:[Lab Unit P "&amp;RawMaterials[[#This Row],[Lab Quote Count]]&amp;"]]")),LOG(INDIRECT("RawMaterials[@[Lab Q Model Units 1]:[Lab Q Model Units "&amp;RawMaterials[[#This Row],[Lab Quote Count]]&amp;"]]"))),"")</f>
        <v/>
      </c>
      <c r="AG42" s="367" t="str">
        <f ca="1">IF(RawMaterials[[#This Row],[Lab Quote Count]]&gt;1,INTERCEPT(LOG(INDIRECT("RawMaterials[@[Lab Unit P 1]:[Lab Unit P "&amp;RawMaterials[[#This Row],[Lab Quote Count]]&amp;"]]")),LOG(INDIRECT("RawMaterials[@[Lab Q Model Units 1]:[Lab Q Model Units "&amp;RawMaterials[[#This Row],[Lab Quote Count]]&amp;"]]"))),"")</f>
        <v/>
      </c>
      <c r="AH42" s="368" t="str">
        <f>IF(RawMaterials[[#This Row],[Material Type]]="Metal Precursor","D13",IF(RawMaterials[[#This Row],[Material Type]]="Ligand","D13","D12"))</f>
        <v>D12</v>
      </c>
      <c r="AI42" s="369" t="str">
        <f ca="1">IF(RawMaterials[[#This Row],[Lab Quote Count]]&gt;1,10^RawMaterials[[#This Row],[Lab Log-Log Intercept]]*INDIRECT(RawMaterials[[#This Row],[Basis Cell]])^RawMaterials[[#This Row],[Lab Log-Log Slope]],"&gt;&gt;&gt; Enter 2 or more lab quotes &lt;&lt;&lt;")</f>
        <v>&gt;&gt;&gt; Enter 2 or more lab quotes &lt;&lt;&lt;</v>
      </c>
      <c r="AJ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1.2849999999999999</v>
      </c>
      <c r="AL42" s="372">
        <f>IF(ISTEXT(RawMaterials[[#This Row],[Unit price in quote year]]),"Check calcs",RawMaterials[[#This Row],[Unit price in quote year]]/VLOOKUP(RawMaterials[[#This Row],[Quote Year]],ChemPPI[],14,FALSE)*VLOOKUP(BasisYear,ChemPPI[],14,FALSE))</f>
        <v>1.5039919664049664</v>
      </c>
      <c r="AM42" s="373" t="str">
        <f t="shared" si="0"/>
        <v>$/lb (2016)</v>
      </c>
    </row>
    <row r="43" spans="1:39">
      <c r="A43" s="263" t="s">
        <v>1151</v>
      </c>
      <c r="B43" s="264"/>
      <c r="C43" s="276"/>
      <c r="D43" s="270"/>
      <c r="E43" s="264">
        <v>100</v>
      </c>
      <c r="F43" s="264"/>
      <c r="G43" s="276"/>
      <c r="H43" s="276"/>
      <c r="I43" s="268"/>
      <c r="J43" s="276"/>
      <c r="K43" s="276"/>
      <c r="L43" s="276"/>
      <c r="M43" s="276"/>
      <c r="N43" s="276"/>
      <c r="O43" s="276"/>
      <c r="P43" s="265">
        <v>1.385</v>
      </c>
      <c r="Q43" s="264">
        <v>1</v>
      </c>
      <c r="R43" s="264" t="s">
        <v>20</v>
      </c>
      <c r="S43" s="264">
        <v>2008</v>
      </c>
      <c r="T43" s="266" t="s">
        <v>163</v>
      </c>
      <c r="U43" s="267">
        <v>42653</v>
      </c>
      <c r="V43" s="269"/>
      <c r="W43" s="366">
        <f>COUNT(RawMaterials[[#This Row],[Lab Quantity 1]:[Lab Quantity 4]])</f>
        <v>0</v>
      </c>
      <c r="X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 s="367" t="e">
        <f>RawMaterials[[#This Row],[Lab Price 1]]/RawMaterials[[#This Row],[Lab Q Model Units 1]]</f>
        <v>#N/A</v>
      </c>
      <c r="AC43" s="367" t="e">
        <f>RawMaterials[[#This Row],[Lab Price 2]]/RawMaterials[[#This Row],[Lab Q Model Units 2]]</f>
        <v>#N/A</v>
      </c>
      <c r="AD43" s="367" t="e">
        <f>RawMaterials[[#This Row],[Lab Price 3]]/RawMaterials[[#This Row],[Lab Q Model Units 3]]</f>
        <v>#N/A</v>
      </c>
      <c r="AE43" s="367" t="e">
        <f>RawMaterials[[#This Row],[Lab Price 4]]/RawMaterials[[#This Row],[Lab Q Model Units 4]]</f>
        <v>#N/A</v>
      </c>
      <c r="AF43" s="367" t="str">
        <f ca="1">IF(RawMaterials[[#This Row],[Lab Quote Count]]&gt;1,SLOPE(LOG(INDIRECT("RawMaterials[@[Lab Unit P 1]:[Lab Unit P "&amp;RawMaterials[[#This Row],[Lab Quote Count]]&amp;"]]")),LOG(INDIRECT("RawMaterials[@[Lab Q Model Units 1]:[Lab Q Model Units "&amp;RawMaterials[[#This Row],[Lab Quote Count]]&amp;"]]"))),"")</f>
        <v/>
      </c>
      <c r="AG43" s="367" t="str">
        <f ca="1">IF(RawMaterials[[#This Row],[Lab Quote Count]]&gt;1,INTERCEPT(LOG(INDIRECT("RawMaterials[@[Lab Unit P 1]:[Lab Unit P "&amp;RawMaterials[[#This Row],[Lab Quote Count]]&amp;"]]")),LOG(INDIRECT("RawMaterials[@[Lab Q Model Units 1]:[Lab Q Model Units "&amp;RawMaterials[[#This Row],[Lab Quote Count]]&amp;"]]"))),"")</f>
        <v/>
      </c>
      <c r="AH43" s="368" t="str">
        <f>IF(RawMaterials[[#This Row],[Material Type]]="Metal Precursor","D13",IF(RawMaterials[[#This Row],[Material Type]]="Ligand","D13","D12"))</f>
        <v>D12</v>
      </c>
      <c r="AI43" s="369" t="str">
        <f ca="1">IF(RawMaterials[[#This Row],[Lab Quote Count]]&gt;1,10^RawMaterials[[#This Row],[Lab Log-Log Intercept]]*INDIRECT(RawMaterials[[#This Row],[Basis Cell]])^RawMaterials[[#This Row],[Lab Log-Log Slope]],"&gt;&gt;&gt; Enter 2 or more lab quotes &lt;&lt;&lt;")</f>
        <v>&gt;&gt;&gt; Enter 2 or more lab quotes &lt;&lt;&lt;</v>
      </c>
      <c r="AJ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1.385</v>
      </c>
      <c r="AL43" s="372">
        <f>IF(ISTEXT(RawMaterials[[#This Row],[Unit price in quote year]]),"Check calcs",RawMaterials[[#This Row],[Unit price in quote year]]/VLOOKUP(RawMaterials[[#This Row],[Quote Year]],ChemPPI[],14,FALSE)*VLOOKUP(BasisYear,ChemPPI[],14,FALSE))</f>
        <v>1.6210341427788937</v>
      </c>
      <c r="AM43" s="373" t="str">
        <f t="shared" si="0"/>
        <v>$/lb (2016)</v>
      </c>
    </row>
    <row r="44" spans="1:39">
      <c r="A44" s="263" t="s">
        <v>1152</v>
      </c>
      <c r="B44" s="264"/>
      <c r="C44" s="276"/>
      <c r="D44" s="270"/>
      <c r="E44" s="264">
        <v>100</v>
      </c>
      <c r="F44" s="264"/>
      <c r="G44" s="276"/>
      <c r="H44" s="276"/>
      <c r="I44" s="268"/>
      <c r="J44" s="276"/>
      <c r="K44" s="276"/>
      <c r="L44" s="276"/>
      <c r="M44" s="276"/>
      <c r="N44" s="276"/>
      <c r="O44" s="276"/>
      <c r="P44" s="265">
        <v>1.375</v>
      </c>
      <c r="Q44" s="264">
        <v>1</v>
      </c>
      <c r="R44" s="264" t="s">
        <v>20</v>
      </c>
      <c r="S44" s="264">
        <v>2008</v>
      </c>
      <c r="T44" s="266" t="s">
        <v>163</v>
      </c>
      <c r="U44" s="267">
        <v>42653</v>
      </c>
      <c r="V44" s="269"/>
      <c r="W44" s="366">
        <f>COUNT(RawMaterials[[#This Row],[Lab Quantity 1]:[Lab Quantity 4]])</f>
        <v>0</v>
      </c>
      <c r="X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 s="367" t="e">
        <f>RawMaterials[[#This Row],[Lab Price 1]]/RawMaterials[[#This Row],[Lab Q Model Units 1]]</f>
        <v>#N/A</v>
      </c>
      <c r="AC44" s="367" t="e">
        <f>RawMaterials[[#This Row],[Lab Price 2]]/RawMaterials[[#This Row],[Lab Q Model Units 2]]</f>
        <v>#N/A</v>
      </c>
      <c r="AD44" s="367" t="e">
        <f>RawMaterials[[#This Row],[Lab Price 3]]/RawMaterials[[#This Row],[Lab Q Model Units 3]]</f>
        <v>#N/A</v>
      </c>
      <c r="AE44" s="367" t="e">
        <f>RawMaterials[[#This Row],[Lab Price 4]]/RawMaterials[[#This Row],[Lab Q Model Units 4]]</f>
        <v>#N/A</v>
      </c>
      <c r="AF44" s="367" t="str">
        <f ca="1">IF(RawMaterials[[#This Row],[Lab Quote Count]]&gt;1,SLOPE(LOG(INDIRECT("RawMaterials[@[Lab Unit P 1]:[Lab Unit P "&amp;RawMaterials[[#This Row],[Lab Quote Count]]&amp;"]]")),LOG(INDIRECT("RawMaterials[@[Lab Q Model Units 1]:[Lab Q Model Units "&amp;RawMaterials[[#This Row],[Lab Quote Count]]&amp;"]]"))),"")</f>
        <v/>
      </c>
      <c r="AG44" s="367" t="str">
        <f ca="1">IF(RawMaterials[[#This Row],[Lab Quote Count]]&gt;1,INTERCEPT(LOG(INDIRECT("RawMaterials[@[Lab Unit P 1]:[Lab Unit P "&amp;RawMaterials[[#This Row],[Lab Quote Count]]&amp;"]]")),LOG(INDIRECT("RawMaterials[@[Lab Q Model Units 1]:[Lab Q Model Units "&amp;RawMaterials[[#This Row],[Lab Quote Count]]&amp;"]]"))),"")</f>
        <v/>
      </c>
      <c r="AH44" s="368" t="str">
        <f>IF(RawMaterials[[#This Row],[Material Type]]="Metal Precursor","D13",IF(RawMaterials[[#This Row],[Material Type]]="Ligand","D13","D12"))</f>
        <v>D12</v>
      </c>
      <c r="AI44" s="369" t="str">
        <f ca="1">IF(RawMaterials[[#This Row],[Lab Quote Count]]&gt;1,10^RawMaterials[[#This Row],[Lab Log-Log Intercept]]*INDIRECT(RawMaterials[[#This Row],[Basis Cell]])^RawMaterials[[#This Row],[Lab Log-Log Slope]],"&gt;&gt;&gt; Enter 2 or more lab quotes &lt;&lt;&lt;")</f>
        <v>&gt;&gt;&gt; Enter 2 or more lab quotes &lt;&lt;&lt;</v>
      </c>
      <c r="AJ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44" s="372">
        <f>IF(ISTEXT(RawMaterials[[#This Row],[Unit price in quote year]]),"Check calcs",RawMaterials[[#This Row],[Unit price in quote year]]/VLOOKUP(RawMaterials[[#This Row],[Quote Year]],ChemPPI[],14,FALSE)*VLOOKUP(BasisYear,ChemPPI[],14,FALSE))</f>
        <v>1.6093299251415008</v>
      </c>
      <c r="AM44" s="373" t="str">
        <f t="shared" si="0"/>
        <v>$/lb (2016)</v>
      </c>
    </row>
    <row r="45" spans="1:39">
      <c r="A45" s="263" t="s">
        <v>1153</v>
      </c>
      <c r="B45" s="264"/>
      <c r="C45" s="276"/>
      <c r="D45" s="270"/>
      <c r="E45" s="264">
        <v>100</v>
      </c>
      <c r="F45" s="264"/>
      <c r="G45" s="276"/>
      <c r="H45" s="276"/>
      <c r="I45" s="268"/>
      <c r="J45" s="276"/>
      <c r="K45" s="276"/>
      <c r="L45" s="276"/>
      <c r="M45" s="276"/>
      <c r="N45" s="276"/>
      <c r="O45" s="276"/>
      <c r="P45" s="265">
        <v>1.29</v>
      </c>
      <c r="Q45" s="264">
        <v>1</v>
      </c>
      <c r="R45" s="264" t="s">
        <v>20</v>
      </c>
      <c r="S45" s="264">
        <v>2008</v>
      </c>
      <c r="T45" s="266" t="s">
        <v>163</v>
      </c>
      <c r="U45" s="267">
        <v>42653</v>
      </c>
      <c r="V45" s="269"/>
      <c r="W45" s="366">
        <f>COUNT(RawMaterials[[#This Row],[Lab Quantity 1]:[Lab Quantity 4]])</f>
        <v>0</v>
      </c>
      <c r="X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 s="367" t="e">
        <f>RawMaterials[[#This Row],[Lab Price 1]]/RawMaterials[[#This Row],[Lab Q Model Units 1]]</f>
        <v>#N/A</v>
      </c>
      <c r="AC45" s="367" t="e">
        <f>RawMaterials[[#This Row],[Lab Price 2]]/RawMaterials[[#This Row],[Lab Q Model Units 2]]</f>
        <v>#N/A</v>
      </c>
      <c r="AD45" s="367" t="e">
        <f>RawMaterials[[#This Row],[Lab Price 3]]/RawMaterials[[#This Row],[Lab Q Model Units 3]]</f>
        <v>#N/A</v>
      </c>
      <c r="AE45" s="367" t="e">
        <f>RawMaterials[[#This Row],[Lab Price 4]]/RawMaterials[[#This Row],[Lab Q Model Units 4]]</f>
        <v>#N/A</v>
      </c>
      <c r="AF45" s="367" t="str">
        <f ca="1">IF(RawMaterials[[#This Row],[Lab Quote Count]]&gt;1,SLOPE(LOG(INDIRECT("RawMaterials[@[Lab Unit P 1]:[Lab Unit P "&amp;RawMaterials[[#This Row],[Lab Quote Count]]&amp;"]]")),LOG(INDIRECT("RawMaterials[@[Lab Q Model Units 1]:[Lab Q Model Units "&amp;RawMaterials[[#This Row],[Lab Quote Count]]&amp;"]]"))),"")</f>
        <v/>
      </c>
      <c r="AG45" s="367" t="str">
        <f ca="1">IF(RawMaterials[[#This Row],[Lab Quote Count]]&gt;1,INTERCEPT(LOG(INDIRECT("RawMaterials[@[Lab Unit P 1]:[Lab Unit P "&amp;RawMaterials[[#This Row],[Lab Quote Count]]&amp;"]]")),LOG(INDIRECT("RawMaterials[@[Lab Q Model Units 1]:[Lab Q Model Units "&amp;RawMaterials[[#This Row],[Lab Quote Count]]&amp;"]]"))),"")</f>
        <v/>
      </c>
      <c r="AH45" s="368" t="str">
        <f>IF(RawMaterials[[#This Row],[Material Type]]="Metal Precursor","D13",IF(RawMaterials[[#This Row],[Material Type]]="Ligand","D13","D12"))</f>
        <v>D12</v>
      </c>
      <c r="AI45" s="369" t="str">
        <f ca="1">IF(RawMaterials[[#This Row],[Lab Quote Count]]&gt;1,10^RawMaterials[[#This Row],[Lab Log-Log Intercept]]*INDIRECT(RawMaterials[[#This Row],[Basis Cell]])^RawMaterials[[#This Row],[Lab Log-Log Slope]],"&gt;&gt;&gt; Enter 2 or more lab quotes &lt;&lt;&lt;")</f>
        <v>&gt;&gt;&gt; Enter 2 or more lab quotes &lt;&lt;&lt;</v>
      </c>
      <c r="AJ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45" s="372">
        <f>IF(ISTEXT(RawMaterials[[#This Row],[Unit price in quote year]]),"Check calcs",RawMaterials[[#This Row],[Unit price in quote year]]/VLOOKUP(RawMaterials[[#This Row],[Quote Year]],ChemPPI[],14,FALSE)*VLOOKUP(BasisYear,ChemPPI[],14,FALSE))</f>
        <v>1.5098440752236628</v>
      </c>
      <c r="AM45" s="373" t="str">
        <f t="shared" si="0"/>
        <v>$/lb (2016)</v>
      </c>
    </row>
    <row r="46" spans="1:39">
      <c r="A46" s="263" t="s">
        <v>1154</v>
      </c>
      <c r="B46" s="264"/>
      <c r="C46" s="276"/>
      <c r="D46" s="270"/>
      <c r="E46" s="264">
        <v>100</v>
      </c>
      <c r="F46" s="264"/>
      <c r="G46" s="276"/>
      <c r="H46" s="276"/>
      <c r="I46" s="268"/>
      <c r="J46" s="276"/>
      <c r="K46" s="276"/>
      <c r="L46" s="276"/>
      <c r="M46" s="276"/>
      <c r="N46" s="276"/>
      <c r="O46" s="276"/>
      <c r="P46" s="265">
        <v>1.2450000000000001</v>
      </c>
      <c r="Q46" s="264">
        <v>1</v>
      </c>
      <c r="R46" s="264" t="s">
        <v>20</v>
      </c>
      <c r="S46" s="264">
        <v>2008</v>
      </c>
      <c r="T46" s="266" t="s">
        <v>163</v>
      </c>
      <c r="U46" s="267">
        <v>42653</v>
      </c>
      <c r="V46" s="269"/>
      <c r="W46" s="366">
        <f>COUNT(RawMaterials[[#This Row],[Lab Quantity 1]:[Lab Quantity 4]])</f>
        <v>0</v>
      </c>
      <c r="X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 s="367" t="e">
        <f>RawMaterials[[#This Row],[Lab Price 1]]/RawMaterials[[#This Row],[Lab Q Model Units 1]]</f>
        <v>#N/A</v>
      </c>
      <c r="AC46" s="367" t="e">
        <f>RawMaterials[[#This Row],[Lab Price 2]]/RawMaterials[[#This Row],[Lab Q Model Units 2]]</f>
        <v>#N/A</v>
      </c>
      <c r="AD46" s="367" t="e">
        <f>RawMaterials[[#This Row],[Lab Price 3]]/RawMaterials[[#This Row],[Lab Q Model Units 3]]</f>
        <v>#N/A</v>
      </c>
      <c r="AE46" s="367" t="e">
        <f>RawMaterials[[#This Row],[Lab Price 4]]/RawMaterials[[#This Row],[Lab Q Model Units 4]]</f>
        <v>#N/A</v>
      </c>
      <c r="AF46" s="367" t="str">
        <f ca="1">IF(RawMaterials[[#This Row],[Lab Quote Count]]&gt;1,SLOPE(LOG(INDIRECT("RawMaterials[@[Lab Unit P 1]:[Lab Unit P "&amp;RawMaterials[[#This Row],[Lab Quote Count]]&amp;"]]")),LOG(INDIRECT("RawMaterials[@[Lab Q Model Units 1]:[Lab Q Model Units "&amp;RawMaterials[[#This Row],[Lab Quote Count]]&amp;"]]"))),"")</f>
        <v/>
      </c>
      <c r="AG46" s="367" t="str">
        <f ca="1">IF(RawMaterials[[#This Row],[Lab Quote Count]]&gt;1,INTERCEPT(LOG(INDIRECT("RawMaterials[@[Lab Unit P 1]:[Lab Unit P "&amp;RawMaterials[[#This Row],[Lab Quote Count]]&amp;"]]")),LOG(INDIRECT("RawMaterials[@[Lab Q Model Units 1]:[Lab Q Model Units "&amp;RawMaterials[[#This Row],[Lab Quote Count]]&amp;"]]"))),"")</f>
        <v/>
      </c>
      <c r="AH46" s="368" t="str">
        <f>IF(RawMaterials[[#This Row],[Material Type]]="Metal Precursor","D13",IF(RawMaterials[[#This Row],[Material Type]]="Ligand","D13","D12"))</f>
        <v>D12</v>
      </c>
      <c r="AI46" s="369" t="str">
        <f ca="1">IF(RawMaterials[[#This Row],[Lab Quote Count]]&gt;1,10^RawMaterials[[#This Row],[Lab Log-Log Intercept]]*INDIRECT(RawMaterials[[#This Row],[Basis Cell]])^RawMaterials[[#This Row],[Lab Log-Log Slope]],"&gt;&gt;&gt; Enter 2 or more lab quotes &lt;&lt;&lt;")</f>
        <v>&gt;&gt;&gt; Enter 2 or more lab quotes &lt;&lt;&lt;</v>
      </c>
      <c r="AJ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1.2450000000000001</v>
      </c>
      <c r="AL46" s="372">
        <f>IF(ISTEXT(RawMaterials[[#This Row],[Unit price in quote year]]),"Check calcs",RawMaterials[[#This Row],[Unit price in quote year]]/VLOOKUP(RawMaterials[[#This Row],[Quote Year]],ChemPPI[],14,FALSE)*VLOOKUP(BasisYear,ChemPPI[],14,FALSE))</f>
        <v>1.4571750958553955</v>
      </c>
      <c r="AM46" s="373" t="str">
        <f t="shared" si="0"/>
        <v>$/lb (2016)</v>
      </c>
    </row>
    <row r="47" spans="1:39">
      <c r="A47" s="263" t="s">
        <v>1155</v>
      </c>
      <c r="B47" s="264"/>
      <c r="C47" s="276"/>
      <c r="D47" s="270"/>
      <c r="E47" s="264">
        <v>100</v>
      </c>
      <c r="F47" s="264"/>
      <c r="G47" s="276"/>
      <c r="H47" s="276"/>
      <c r="I47" s="268"/>
      <c r="J47" s="276"/>
      <c r="K47" s="276"/>
      <c r="L47" s="276"/>
      <c r="M47" s="276"/>
      <c r="N47" s="276"/>
      <c r="O47" s="276"/>
      <c r="P47" s="265">
        <v>1.405</v>
      </c>
      <c r="Q47" s="264">
        <v>1</v>
      </c>
      <c r="R47" s="264" t="s">
        <v>20</v>
      </c>
      <c r="S47" s="264">
        <v>2008</v>
      </c>
      <c r="T47" s="266" t="s">
        <v>163</v>
      </c>
      <c r="U47" s="267">
        <v>42653</v>
      </c>
      <c r="V47" s="269"/>
      <c r="W47" s="366">
        <f>COUNT(RawMaterials[[#This Row],[Lab Quantity 1]:[Lab Quantity 4]])</f>
        <v>0</v>
      </c>
      <c r="X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 s="367" t="e">
        <f>RawMaterials[[#This Row],[Lab Price 1]]/RawMaterials[[#This Row],[Lab Q Model Units 1]]</f>
        <v>#N/A</v>
      </c>
      <c r="AC47" s="367" t="e">
        <f>RawMaterials[[#This Row],[Lab Price 2]]/RawMaterials[[#This Row],[Lab Q Model Units 2]]</f>
        <v>#N/A</v>
      </c>
      <c r="AD47" s="367" t="e">
        <f>RawMaterials[[#This Row],[Lab Price 3]]/RawMaterials[[#This Row],[Lab Q Model Units 3]]</f>
        <v>#N/A</v>
      </c>
      <c r="AE47" s="367" t="e">
        <f>RawMaterials[[#This Row],[Lab Price 4]]/RawMaterials[[#This Row],[Lab Q Model Units 4]]</f>
        <v>#N/A</v>
      </c>
      <c r="AF47" s="367" t="str">
        <f ca="1">IF(RawMaterials[[#This Row],[Lab Quote Count]]&gt;1,SLOPE(LOG(INDIRECT("RawMaterials[@[Lab Unit P 1]:[Lab Unit P "&amp;RawMaterials[[#This Row],[Lab Quote Count]]&amp;"]]")),LOG(INDIRECT("RawMaterials[@[Lab Q Model Units 1]:[Lab Q Model Units "&amp;RawMaterials[[#This Row],[Lab Quote Count]]&amp;"]]"))),"")</f>
        <v/>
      </c>
      <c r="AG47" s="367" t="str">
        <f ca="1">IF(RawMaterials[[#This Row],[Lab Quote Count]]&gt;1,INTERCEPT(LOG(INDIRECT("RawMaterials[@[Lab Unit P 1]:[Lab Unit P "&amp;RawMaterials[[#This Row],[Lab Quote Count]]&amp;"]]")),LOG(INDIRECT("RawMaterials[@[Lab Q Model Units 1]:[Lab Q Model Units "&amp;RawMaterials[[#This Row],[Lab Quote Count]]&amp;"]]"))),"")</f>
        <v/>
      </c>
      <c r="AH47" s="368" t="str">
        <f>IF(RawMaterials[[#This Row],[Material Type]]="Metal Precursor","D13",IF(RawMaterials[[#This Row],[Material Type]]="Ligand","D13","D12"))</f>
        <v>D12</v>
      </c>
      <c r="AI47" s="369" t="str">
        <f ca="1">IF(RawMaterials[[#This Row],[Lab Quote Count]]&gt;1,10^RawMaterials[[#This Row],[Lab Log-Log Intercept]]*INDIRECT(RawMaterials[[#This Row],[Basis Cell]])^RawMaterials[[#This Row],[Lab Log-Log Slope]],"&gt;&gt;&gt; Enter 2 or more lab quotes &lt;&lt;&lt;")</f>
        <v>&gt;&gt;&gt; Enter 2 or more lab quotes &lt;&lt;&lt;</v>
      </c>
      <c r="AJ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1.405</v>
      </c>
      <c r="AL47" s="372">
        <f>IF(ISTEXT(RawMaterials[[#This Row],[Unit price in quote year]]),"Check calcs",RawMaterials[[#This Row],[Unit price in quote year]]/VLOOKUP(RawMaterials[[#This Row],[Quote Year]],ChemPPI[],14,FALSE)*VLOOKUP(BasisYear,ChemPPI[],14,FALSE))</f>
        <v>1.6444425780536791</v>
      </c>
      <c r="AM47" s="373" t="str">
        <f t="shared" si="0"/>
        <v>$/lb (2016)</v>
      </c>
    </row>
    <row r="48" spans="1:39">
      <c r="A48" s="263" t="s">
        <v>1156</v>
      </c>
      <c r="B48" s="264"/>
      <c r="C48" s="276"/>
      <c r="D48" s="270"/>
      <c r="E48" s="264">
        <v>100</v>
      </c>
      <c r="F48" s="264"/>
      <c r="G48" s="276"/>
      <c r="H48" s="276"/>
      <c r="I48" s="268"/>
      <c r="J48" s="276"/>
      <c r="K48" s="276"/>
      <c r="L48" s="276"/>
      <c r="M48" s="276"/>
      <c r="N48" s="276"/>
      <c r="O48" s="276"/>
      <c r="P48" s="265">
        <v>0.95499999999999996</v>
      </c>
      <c r="Q48" s="264">
        <v>1</v>
      </c>
      <c r="R48" s="264" t="s">
        <v>20</v>
      </c>
      <c r="S48" s="264">
        <v>2008</v>
      </c>
      <c r="T48" s="266" t="s">
        <v>163</v>
      </c>
      <c r="U48" s="267">
        <v>42653</v>
      </c>
      <c r="V48" s="269"/>
      <c r="W48" s="366">
        <f>COUNT(RawMaterials[[#This Row],[Lab Quantity 1]:[Lab Quantity 4]])</f>
        <v>0</v>
      </c>
      <c r="X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 s="367" t="e">
        <f>RawMaterials[[#This Row],[Lab Price 1]]/RawMaterials[[#This Row],[Lab Q Model Units 1]]</f>
        <v>#N/A</v>
      </c>
      <c r="AC48" s="367" t="e">
        <f>RawMaterials[[#This Row],[Lab Price 2]]/RawMaterials[[#This Row],[Lab Q Model Units 2]]</f>
        <v>#N/A</v>
      </c>
      <c r="AD48" s="367" t="e">
        <f>RawMaterials[[#This Row],[Lab Price 3]]/RawMaterials[[#This Row],[Lab Q Model Units 3]]</f>
        <v>#N/A</v>
      </c>
      <c r="AE48" s="367" t="e">
        <f>RawMaterials[[#This Row],[Lab Price 4]]/RawMaterials[[#This Row],[Lab Q Model Units 4]]</f>
        <v>#N/A</v>
      </c>
      <c r="AF48" s="367" t="str">
        <f ca="1">IF(RawMaterials[[#This Row],[Lab Quote Count]]&gt;1,SLOPE(LOG(INDIRECT("RawMaterials[@[Lab Unit P 1]:[Lab Unit P "&amp;RawMaterials[[#This Row],[Lab Quote Count]]&amp;"]]")),LOG(INDIRECT("RawMaterials[@[Lab Q Model Units 1]:[Lab Q Model Units "&amp;RawMaterials[[#This Row],[Lab Quote Count]]&amp;"]]"))),"")</f>
        <v/>
      </c>
      <c r="AG48" s="367" t="str">
        <f ca="1">IF(RawMaterials[[#This Row],[Lab Quote Count]]&gt;1,INTERCEPT(LOG(INDIRECT("RawMaterials[@[Lab Unit P 1]:[Lab Unit P "&amp;RawMaterials[[#This Row],[Lab Quote Count]]&amp;"]]")),LOG(INDIRECT("RawMaterials[@[Lab Q Model Units 1]:[Lab Q Model Units "&amp;RawMaterials[[#This Row],[Lab Quote Count]]&amp;"]]"))),"")</f>
        <v/>
      </c>
      <c r="AH48" s="368" t="str">
        <f>IF(RawMaterials[[#This Row],[Material Type]]="Metal Precursor","D13",IF(RawMaterials[[#This Row],[Material Type]]="Ligand","D13","D12"))</f>
        <v>D12</v>
      </c>
      <c r="AI48" s="369" t="str">
        <f ca="1">IF(RawMaterials[[#This Row],[Lab Quote Count]]&gt;1,10^RawMaterials[[#This Row],[Lab Log-Log Intercept]]*INDIRECT(RawMaterials[[#This Row],[Basis Cell]])^RawMaterials[[#This Row],[Lab Log-Log Slope]],"&gt;&gt;&gt; Enter 2 or more lab quotes &lt;&lt;&lt;")</f>
        <v>&gt;&gt;&gt; Enter 2 or more lab quotes &lt;&lt;&lt;</v>
      </c>
      <c r="AJ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0.95499999999999996</v>
      </c>
      <c r="AL48" s="372">
        <f>IF(ISTEXT(RawMaterials[[#This Row],[Unit price in quote year]]),"Check calcs",RawMaterials[[#This Row],[Unit price in quote year]]/VLOOKUP(RawMaterials[[#This Row],[Quote Year]],ChemPPI[],14,FALSE)*VLOOKUP(BasisYear,ChemPPI[],14,FALSE))</f>
        <v>1.117752784371006</v>
      </c>
      <c r="AM48" s="373" t="str">
        <f t="shared" si="0"/>
        <v>$/lb (2016)</v>
      </c>
    </row>
    <row r="49" spans="1:39">
      <c r="A49" s="263" t="s">
        <v>1157</v>
      </c>
      <c r="B49" s="264"/>
      <c r="C49" s="276"/>
      <c r="D49" s="270"/>
      <c r="E49" s="264">
        <v>100</v>
      </c>
      <c r="F49" s="264"/>
      <c r="G49" s="276"/>
      <c r="H49" s="276"/>
      <c r="I49" s="268"/>
      <c r="J49" s="276"/>
      <c r="K49" s="276"/>
      <c r="L49" s="276"/>
      <c r="M49" s="276"/>
      <c r="N49" s="276"/>
      <c r="O49" s="276"/>
      <c r="P49" s="265">
        <v>1.365</v>
      </c>
      <c r="Q49" s="264">
        <v>1</v>
      </c>
      <c r="R49" s="264" t="s">
        <v>20</v>
      </c>
      <c r="S49" s="264">
        <v>2008</v>
      </c>
      <c r="T49" s="266" t="s">
        <v>163</v>
      </c>
      <c r="U49" s="267">
        <v>42653</v>
      </c>
      <c r="V49" s="269"/>
      <c r="W49" s="366">
        <f>COUNT(RawMaterials[[#This Row],[Lab Quantity 1]:[Lab Quantity 4]])</f>
        <v>0</v>
      </c>
      <c r="X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 s="367" t="e">
        <f>RawMaterials[[#This Row],[Lab Price 1]]/RawMaterials[[#This Row],[Lab Q Model Units 1]]</f>
        <v>#N/A</v>
      </c>
      <c r="AC49" s="367" t="e">
        <f>RawMaterials[[#This Row],[Lab Price 2]]/RawMaterials[[#This Row],[Lab Q Model Units 2]]</f>
        <v>#N/A</v>
      </c>
      <c r="AD49" s="367" t="e">
        <f>RawMaterials[[#This Row],[Lab Price 3]]/RawMaterials[[#This Row],[Lab Q Model Units 3]]</f>
        <v>#N/A</v>
      </c>
      <c r="AE49" s="367" t="e">
        <f>RawMaterials[[#This Row],[Lab Price 4]]/RawMaterials[[#This Row],[Lab Q Model Units 4]]</f>
        <v>#N/A</v>
      </c>
      <c r="AF49" s="367" t="str">
        <f ca="1">IF(RawMaterials[[#This Row],[Lab Quote Count]]&gt;1,SLOPE(LOG(INDIRECT("RawMaterials[@[Lab Unit P 1]:[Lab Unit P "&amp;RawMaterials[[#This Row],[Lab Quote Count]]&amp;"]]")),LOG(INDIRECT("RawMaterials[@[Lab Q Model Units 1]:[Lab Q Model Units "&amp;RawMaterials[[#This Row],[Lab Quote Count]]&amp;"]]"))),"")</f>
        <v/>
      </c>
      <c r="AG49" s="367" t="str">
        <f ca="1">IF(RawMaterials[[#This Row],[Lab Quote Count]]&gt;1,INTERCEPT(LOG(INDIRECT("RawMaterials[@[Lab Unit P 1]:[Lab Unit P "&amp;RawMaterials[[#This Row],[Lab Quote Count]]&amp;"]]")),LOG(INDIRECT("RawMaterials[@[Lab Q Model Units 1]:[Lab Q Model Units "&amp;RawMaterials[[#This Row],[Lab Quote Count]]&amp;"]]"))),"")</f>
        <v/>
      </c>
      <c r="AH49" s="368" t="str">
        <f>IF(RawMaterials[[#This Row],[Material Type]]="Metal Precursor","D13",IF(RawMaterials[[#This Row],[Material Type]]="Ligand","D13","D12"))</f>
        <v>D12</v>
      </c>
      <c r="AI49" s="369" t="str">
        <f ca="1">IF(RawMaterials[[#This Row],[Lab Quote Count]]&gt;1,10^RawMaterials[[#This Row],[Lab Log-Log Intercept]]*INDIRECT(RawMaterials[[#This Row],[Basis Cell]])^RawMaterials[[#This Row],[Lab Log-Log Slope]],"&gt;&gt;&gt; Enter 2 or more lab quotes &lt;&lt;&lt;")</f>
        <v>&gt;&gt;&gt; Enter 2 or more lab quotes &lt;&lt;&lt;</v>
      </c>
      <c r="AJ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1.365</v>
      </c>
      <c r="AL49" s="372">
        <f>IF(ISTEXT(RawMaterials[[#This Row],[Unit price in quote year]]),"Check calcs",RawMaterials[[#This Row],[Unit price in quote year]]/VLOOKUP(RawMaterials[[#This Row],[Quote Year]],ChemPPI[],14,FALSE)*VLOOKUP(BasisYear,ChemPPI[],14,FALSE))</f>
        <v>1.597625707504108</v>
      </c>
      <c r="AM49" s="373" t="str">
        <f t="shared" si="0"/>
        <v>$/lb (2016)</v>
      </c>
    </row>
    <row r="50" spans="1:39">
      <c r="A50" s="263" t="s">
        <v>1158</v>
      </c>
      <c r="B50" s="264"/>
      <c r="C50" s="276"/>
      <c r="D50" s="270"/>
      <c r="E50" s="264">
        <v>100</v>
      </c>
      <c r="F50" s="264"/>
      <c r="G50" s="276"/>
      <c r="H50" s="276"/>
      <c r="I50" s="268"/>
      <c r="J50" s="276"/>
      <c r="K50" s="276"/>
      <c r="L50" s="276"/>
      <c r="M50" s="276"/>
      <c r="N50" s="276"/>
      <c r="O50" s="276"/>
      <c r="P50" s="265">
        <v>1.31</v>
      </c>
      <c r="Q50" s="264">
        <v>1</v>
      </c>
      <c r="R50" s="264" t="s">
        <v>20</v>
      </c>
      <c r="S50" s="264">
        <v>2008</v>
      </c>
      <c r="T50" s="266" t="s">
        <v>163</v>
      </c>
      <c r="U50" s="267">
        <v>42653</v>
      </c>
      <c r="V50" s="269"/>
      <c r="W50" s="366">
        <f>COUNT(RawMaterials[[#This Row],[Lab Quantity 1]:[Lab Quantity 4]])</f>
        <v>0</v>
      </c>
      <c r="X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 s="367" t="e">
        <f>RawMaterials[[#This Row],[Lab Price 1]]/RawMaterials[[#This Row],[Lab Q Model Units 1]]</f>
        <v>#N/A</v>
      </c>
      <c r="AC50" s="367" t="e">
        <f>RawMaterials[[#This Row],[Lab Price 2]]/RawMaterials[[#This Row],[Lab Q Model Units 2]]</f>
        <v>#N/A</v>
      </c>
      <c r="AD50" s="367" t="e">
        <f>RawMaterials[[#This Row],[Lab Price 3]]/RawMaterials[[#This Row],[Lab Q Model Units 3]]</f>
        <v>#N/A</v>
      </c>
      <c r="AE50" s="367" t="e">
        <f>RawMaterials[[#This Row],[Lab Price 4]]/RawMaterials[[#This Row],[Lab Q Model Units 4]]</f>
        <v>#N/A</v>
      </c>
      <c r="AF50" s="367" t="str">
        <f ca="1">IF(RawMaterials[[#This Row],[Lab Quote Count]]&gt;1,SLOPE(LOG(INDIRECT("RawMaterials[@[Lab Unit P 1]:[Lab Unit P "&amp;RawMaterials[[#This Row],[Lab Quote Count]]&amp;"]]")),LOG(INDIRECT("RawMaterials[@[Lab Q Model Units 1]:[Lab Q Model Units "&amp;RawMaterials[[#This Row],[Lab Quote Count]]&amp;"]]"))),"")</f>
        <v/>
      </c>
      <c r="AG50" s="367" t="str">
        <f ca="1">IF(RawMaterials[[#This Row],[Lab Quote Count]]&gt;1,INTERCEPT(LOG(INDIRECT("RawMaterials[@[Lab Unit P 1]:[Lab Unit P "&amp;RawMaterials[[#This Row],[Lab Quote Count]]&amp;"]]")),LOG(INDIRECT("RawMaterials[@[Lab Q Model Units 1]:[Lab Q Model Units "&amp;RawMaterials[[#This Row],[Lab Quote Count]]&amp;"]]"))),"")</f>
        <v/>
      </c>
      <c r="AH50" s="368" t="str">
        <f>IF(RawMaterials[[#This Row],[Material Type]]="Metal Precursor","D13",IF(RawMaterials[[#This Row],[Material Type]]="Ligand","D13","D12"))</f>
        <v>D12</v>
      </c>
      <c r="AI50" s="369" t="str">
        <f ca="1">IF(RawMaterials[[#This Row],[Lab Quote Count]]&gt;1,10^RawMaterials[[#This Row],[Lab Log-Log Intercept]]*INDIRECT(RawMaterials[[#This Row],[Basis Cell]])^RawMaterials[[#This Row],[Lab Log-Log Slope]],"&gt;&gt;&gt; Enter 2 or more lab quotes &lt;&lt;&lt;")</f>
        <v>&gt;&gt;&gt; Enter 2 or more lab quotes &lt;&lt;&lt;</v>
      </c>
      <c r="AJ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v>
      </c>
      <c r="AL50" s="372">
        <f>IF(ISTEXT(RawMaterials[[#This Row],[Unit price in quote year]]),"Check calcs",RawMaterials[[#This Row],[Unit price in quote year]]/VLOOKUP(RawMaterials[[#This Row],[Quote Year]],ChemPPI[],14,FALSE)*VLOOKUP(BasisYear,ChemPPI[],14,FALSE))</f>
        <v>1.533252510498448</v>
      </c>
      <c r="AM50" s="373" t="str">
        <f t="shared" si="0"/>
        <v>$/lb (2016)</v>
      </c>
    </row>
    <row r="51" spans="1:39">
      <c r="A51" s="263" t="s">
        <v>1159</v>
      </c>
      <c r="B51" s="264"/>
      <c r="C51" s="276"/>
      <c r="D51" s="270"/>
      <c r="E51" s="264">
        <v>100</v>
      </c>
      <c r="F51" s="264"/>
      <c r="G51" s="276"/>
      <c r="H51" s="276"/>
      <c r="I51" s="268"/>
      <c r="J51" s="276"/>
      <c r="K51" s="276"/>
      <c r="L51" s="276"/>
      <c r="M51" s="276"/>
      <c r="N51" s="276"/>
      <c r="O51" s="276"/>
      <c r="P51" s="265">
        <v>0.67500000000000004</v>
      </c>
      <c r="Q51" s="264">
        <v>1</v>
      </c>
      <c r="R51" s="264" t="s">
        <v>1123</v>
      </c>
      <c r="S51" s="264">
        <v>2006</v>
      </c>
      <c r="T51" s="266" t="s">
        <v>163</v>
      </c>
      <c r="U51" s="267">
        <v>42653</v>
      </c>
      <c r="V51" s="269"/>
      <c r="W51" s="366">
        <f>COUNT(RawMaterials[[#This Row],[Lab Quantity 1]:[Lab Quantity 4]])</f>
        <v>0</v>
      </c>
      <c r="X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 s="367" t="e">
        <f>RawMaterials[[#This Row],[Lab Price 1]]/RawMaterials[[#This Row],[Lab Q Model Units 1]]</f>
        <v>#N/A</v>
      </c>
      <c r="AC51" s="367" t="e">
        <f>RawMaterials[[#This Row],[Lab Price 2]]/RawMaterials[[#This Row],[Lab Q Model Units 2]]</f>
        <v>#N/A</v>
      </c>
      <c r="AD51" s="367" t="e">
        <f>RawMaterials[[#This Row],[Lab Price 3]]/RawMaterials[[#This Row],[Lab Q Model Units 3]]</f>
        <v>#N/A</v>
      </c>
      <c r="AE51" s="367" t="e">
        <f>RawMaterials[[#This Row],[Lab Price 4]]/RawMaterials[[#This Row],[Lab Q Model Units 4]]</f>
        <v>#N/A</v>
      </c>
      <c r="AF51" s="367" t="str">
        <f ca="1">IF(RawMaterials[[#This Row],[Lab Quote Count]]&gt;1,SLOPE(LOG(INDIRECT("RawMaterials[@[Lab Unit P 1]:[Lab Unit P "&amp;RawMaterials[[#This Row],[Lab Quote Count]]&amp;"]]")),LOG(INDIRECT("RawMaterials[@[Lab Q Model Units 1]:[Lab Q Model Units "&amp;RawMaterials[[#This Row],[Lab Quote Count]]&amp;"]]"))),"")</f>
        <v/>
      </c>
      <c r="AG51" s="367" t="str">
        <f ca="1">IF(RawMaterials[[#This Row],[Lab Quote Count]]&gt;1,INTERCEPT(LOG(INDIRECT("RawMaterials[@[Lab Unit P 1]:[Lab Unit P "&amp;RawMaterials[[#This Row],[Lab Quote Count]]&amp;"]]")),LOG(INDIRECT("RawMaterials[@[Lab Q Model Units 1]:[Lab Q Model Units "&amp;RawMaterials[[#This Row],[Lab Quote Count]]&amp;"]]"))),"")</f>
        <v/>
      </c>
      <c r="AH51" s="368" t="str">
        <f>IF(RawMaterials[[#This Row],[Material Type]]="Metal Precursor","D13",IF(RawMaterials[[#This Row],[Material Type]]="Ligand","D13","D12"))</f>
        <v>D12</v>
      </c>
      <c r="AI51" s="369" t="str">
        <f ca="1">IF(RawMaterials[[#This Row],[Lab Quote Count]]&gt;1,10^RawMaterials[[#This Row],[Lab Log-Log Intercept]]*INDIRECT(RawMaterials[[#This Row],[Basis Cell]])^RawMaterials[[#This Row],[Lab Log-Log Slope]],"&gt;&gt;&gt; Enter 2 or more lab quotes &lt;&lt;&lt;")</f>
        <v>&gt;&gt;&gt; Enter 2 or more lab quotes &lt;&lt;&lt;</v>
      </c>
      <c r="AJ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3.0617484975000001E-4</v>
      </c>
      <c r="AL51" s="372">
        <f>IF(ISTEXT(RawMaterials[[#This Row],[Unit price in quote year]]),"Check calcs",RawMaterials[[#This Row],[Unit price in quote year]]/VLOOKUP(RawMaterials[[#This Row],[Quote Year]],ChemPPI[],14,FALSE)*VLOOKUP(BasisYear,ChemPPI[],14,FALSE))</f>
        <v>4.1554523561089952E-4</v>
      </c>
      <c r="AM51" s="373" t="str">
        <f t="shared" si="0"/>
        <v>$/lb (2016)</v>
      </c>
    </row>
    <row r="52" spans="1:39">
      <c r="A52" s="263" t="s">
        <v>1160</v>
      </c>
      <c r="B52" s="264"/>
      <c r="C52" s="276"/>
      <c r="D52" s="270"/>
      <c r="E52" s="264">
        <v>100</v>
      </c>
      <c r="F52" s="264"/>
      <c r="G52" s="276"/>
      <c r="H52" s="276"/>
      <c r="I52" s="268"/>
      <c r="J52" s="276"/>
      <c r="K52" s="276"/>
      <c r="L52" s="276"/>
      <c r="M52" s="276"/>
      <c r="N52" s="276"/>
      <c r="O52" s="276"/>
      <c r="P52" s="265">
        <v>1.3149999999999999</v>
      </c>
      <c r="Q52" s="264">
        <v>1</v>
      </c>
      <c r="R52" s="264" t="s">
        <v>20</v>
      </c>
      <c r="S52" s="264">
        <v>2006</v>
      </c>
      <c r="T52" s="266" t="s">
        <v>163</v>
      </c>
      <c r="U52" s="267">
        <v>42653</v>
      </c>
      <c r="V52" s="269"/>
      <c r="W52" s="366">
        <f>COUNT(RawMaterials[[#This Row],[Lab Quantity 1]:[Lab Quantity 4]])</f>
        <v>0</v>
      </c>
      <c r="X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 s="367" t="e">
        <f>RawMaterials[[#This Row],[Lab Price 1]]/RawMaterials[[#This Row],[Lab Q Model Units 1]]</f>
        <v>#N/A</v>
      </c>
      <c r="AC52" s="367" t="e">
        <f>RawMaterials[[#This Row],[Lab Price 2]]/RawMaterials[[#This Row],[Lab Q Model Units 2]]</f>
        <v>#N/A</v>
      </c>
      <c r="AD52" s="367" t="e">
        <f>RawMaterials[[#This Row],[Lab Price 3]]/RawMaterials[[#This Row],[Lab Q Model Units 3]]</f>
        <v>#N/A</v>
      </c>
      <c r="AE52" s="367" t="e">
        <f>RawMaterials[[#This Row],[Lab Price 4]]/RawMaterials[[#This Row],[Lab Q Model Units 4]]</f>
        <v>#N/A</v>
      </c>
      <c r="AF52" s="367" t="str">
        <f ca="1">IF(RawMaterials[[#This Row],[Lab Quote Count]]&gt;1,SLOPE(LOG(INDIRECT("RawMaterials[@[Lab Unit P 1]:[Lab Unit P "&amp;RawMaterials[[#This Row],[Lab Quote Count]]&amp;"]]")),LOG(INDIRECT("RawMaterials[@[Lab Q Model Units 1]:[Lab Q Model Units "&amp;RawMaterials[[#This Row],[Lab Quote Count]]&amp;"]]"))),"")</f>
        <v/>
      </c>
      <c r="AG52" s="367" t="str">
        <f ca="1">IF(RawMaterials[[#This Row],[Lab Quote Count]]&gt;1,INTERCEPT(LOG(INDIRECT("RawMaterials[@[Lab Unit P 1]:[Lab Unit P "&amp;RawMaterials[[#This Row],[Lab Quote Count]]&amp;"]]")),LOG(INDIRECT("RawMaterials[@[Lab Q Model Units 1]:[Lab Q Model Units "&amp;RawMaterials[[#This Row],[Lab Quote Count]]&amp;"]]"))),"")</f>
        <v/>
      </c>
      <c r="AH52" s="368" t="str">
        <f>IF(RawMaterials[[#This Row],[Material Type]]="Metal Precursor","D13",IF(RawMaterials[[#This Row],[Material Type]]="Ligand","D13","D12"))</f>
        <v>D12</v>
      </c>
      <c r="AI52" s="369" t="str">
        <f ca="1">IF(RawMaterials[[#This Row],[Lab Quote Count]]&gt;1,10^RawMaterials[[#This Row],[Lab Log-Log Intercept]]*INDIRECT(RawMaterials[[#This Row],[Basis Cell]])^RawMaterials[[#This Row],[Lab Log-Log Slope]],"&gt;&gt;&gt; Enter 2 or more lab quotes &lt;&lt;&lt;")</f>
        <v>&gt;&gt;&gt; Enter 2 or more lab quotes &lt;&lt;&lt;</v>
      </c>
      <c r="AJ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1.3149999999999999</v>
      </c>
      <c r="AL52" s="372">
        <f>IF(ISTEXT(RawMaterials[[#This Row],[Unit price in quote year]]),"Check calcs",RawMaterials[[#This Row],[Unit price in quote year]]/VLOOKUP(RawMaterials[[#This Row],[Quote Year]],ChemPPI[],14,FALSE)*VLOOKUP(BasisYear,ChemPPI[],14,FALSE))</f>
        <v>1.7847383130081305</v>
      </c>
      <c r="AM52" s="373" t="str">
        <f t="shared" si="0"/>
        <v>$/lb (2016)</v>
      </c>
    </row>
    <row r="53" spans="1:39">
      <c r="A53" s="263" t="s">
        <v>1161</v>
      </c>
      <c r="B53" s="264"/>
      <c r="C53" s="276"/>
      <c r="D53" s="270"/>
      <c r="E53" s="264">
        <v>100</v>
      </c>
      <c r="F53" s="264"/>
      <c r="G53" s="276"/>
      <c r="H53" s="276"/>
      <c r="I53" s="268"/>
      <c r="J53" s="276"/>
      <c r="K53" s="276"/>
      <c r="L53" s="276"/>
      <c r="M53" s="276"/>
      <c r="N53" s="276"/>
      <c r="O53" s="276"/>
      <c r="P53" s="265">
        <v>0.875</v>
      </c>
      <c r="Q53" s="264">
        <v>1</v>
      </c>
      <c r="R53" s="264" t="s">
        <v>406</v>
      </c>
      <c r="S53" s="264">
        <v>2006</v>
      </c>
      <c r="T53" s="266" t="s">
        <v>163</v>
      </c>
      <c r="U53" s="267">
        <v>42653</v>
      </c>
      <c r="V53" s="269"/>
      <c r="W53" s="366">
        <f>COUNT(RawMaterials[[#This Row],[Lab Quantity 1]:[Lab Quantity 4]])</f>
        <v>0</v>
      </c>
      <c r="X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 s="367" t="e">
        <f>RawMaterials[[#This Row],[Lab Price 1]]/RawMaterials[[#This Row],[Lab Q Model Units 1]]</f>
        <v>#N/A</v>
      </c>
      <c r="AC53" s="367" t="e">
        <f>RawMaterials[[#This Row],[Lab Price 2]]/RawMaterials[[#This Row],[Lab Q Model Units 2]]</f>
        <v>#N/A</v>
      </c>
      <c r="AD53" s="367" t="e">
        <f>RawMaterials[[#This Row],[Lab Price 3]]/RawMaterials[[#This Row],[Lab Q Model Units 3]]</f>
        <v>#N/A</v>
      </c>
      <c r="AE53" s="367" t="e">
        <f>RawMaterials[[#This Row],[Lab Price 4]]/RawMaterials[[#This Row],[Lab Q Model Units 4]]</f>
        <v>#N/A</v>
      </c>
      <c r="AF53" s="367" t="str">
        <f ca="1">IF(RawMaterials[[#This Row],[Lab Quote Count]]&gt;1,SLOPE(LOG(INDIRECT("RawMaterials[@[Lab Unit P 1]:[Lab Unit P "&amp;RawMaterials[[#This Row],[Lab Quote Count]]&amp;"]]")),LOG(INDIRECT("RawMaterials[@[Lab Q Model Units 1]:[Lab Q Model Units "&amp;RawMaterials[[#This Row],[Lab Quote Count]]&amp;"]]"))),"")</f>
        <v/>
      </c>
      <c r="AG53" s="367" t="str">
        <f ca="1">IF(RawMaterials[[#This Row],[Lab Quote Count]]&gt;1,INTERCEPT(LOG(INDIRECT("RawMaterials[@[Lab Unit P 1]:[Lab Unit P "&amp;RawMaterials[[#This Row],[Lab Quote Count]]&amp;"]]")),LOG(INDIRECT("RawMaterials[@[Lab Q Model Units 1]:[Lab Q Model Units "&amp;RawMaterials[[#This Row],[Lab Quote Count]]&amp;"]]"))),"")</f>
        <v/>
      </c>
      <c r="AH53" s="368" t="str">
        <f>IF(RawMaterials[[#This Row],[Material Type]]="Metal Precursor","D13",IF(RawMaterials[[#This Row],[Material Type]]="Ligand","D13","D12"))</f>
        <v>D12</v>
      </c>
      <c r="AI53" s="369" t="str">
        <f ca="1">IF(RawMaterials[[#This Row],[Lab Quote Count]]&gt;1,10^RawMaterials[[#This Row],[Lab Log-Log Intercept]]*INDIRECT(RawMaterials[[#This Row],[Basis Cell]])^RawMaterials[[#This Row],[Lab Log-Log Slope]],"&gt;&gt;&gt; Enter 2 or more lab quotes &lt;&lt;&lt;")</f>
        <v>&gt;&gt;&gt; Enter 2 or more lab quotes &lt;&lt;&lt;</v>
      </c>
      <c r="AJ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4.3750000000000001E-4</v>
      </c>
      <c r="AL53" s="372">
        <f>IF(ISTEXT(RawMaterials[[#This Row],[Unit price in quote year]]),"Check calcs",RawMaterials[[#This Row],[Unit price in quote year]]/VLOOKUP(RawMaterials[[#This Row],[Quote Year]],ChemPPI[],14,FALSE)*VLOOKUP(BasisYear,ChemPPI[],14,FALSE))</f>
        <v>5.9378175813008143E-4</v>
      </c>
      <c r="AM53" s="373" t="str">
        <f t="shared" si="0"/>
        <v>$/lb (2016)</v>
      </c>
    </row>
    <row r="54" spans="1:39">
      <c r="A54" s="263" t="s">
        <v>1162</v>
      </c>
      <c r="B54" s="264"/>
      <c r="C54" s="271"/>
      <c r="D54" s="365"/>
      <c r="E54" s="264">
        <v>100</v>
      </c>
      <c r="F54" s="264"/>
      <c r="G54" s="271"/>
      <c r="H54" s="271"/>
      <c r="I54" s="268"/>
      <c r="J54" s="271"/>
      <c r="K54" s="271"/>
      <c r="L54" s="271"/>
      <c r="M54" s="271"/>
      <c r="N54" s="271"/>
      <c r="O54" s="271"/>
      <c r="P54" s="265">
        <v>0.77500000000000002</v>
      </c>
      <c r="Q54" s="264">
        <v>1</v>
      </c>
      <c r="R54" s="264" t="s">
        <v>20</v>
      </c>
      <c r="S54" s="264">
        <v>2006</v>
      </c>
      <c r="T54" s="266" t="s">
        <v>163</v>
      </c>
      <c r="U54" s="267">
        <v>42653</v>
      </c>
      <c r="V54" s="269"/>
      <c r="W54" s="366">
        <f>COUNT(RawMaterials[[#This Row],[Lab Quantity 1]:[Lab Quantity 4]])</f>
        <v>0</v>
      </c>
      <c r="X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 s="367" t="e">
        <f>RawMaterials[[#This Row],[Lab Price 1]]/RawMaterials[[#This Row],[Lab Q Model Units 1]]</f>
        <v>#N/A</v>
      </c>
      <c r="AC54" s="367" t="e">
        <f>RawMaterials[[#This Row],[Lab Price 2]]/RawMaterials[[#This Row],[Lab Q Model Units 2]]</f>
        <v>#N/A</v>
      </c>
      <c r="AD54" s="367" t="e">
        <f>RawMaterials[[#This Row],[Lab Price 3]]/RawMaterials[[#This Row],[Lab Q Model Units 3]]</f>
        <v>#N/A</v>
      </c>
      <c r="AE54" s="367" t="e">
        <f>RawMaterials[[#This Row],[Lab Price 4]]/RawMaterials[[#This Row],[Lab Q Model Units 4]]</f>
        <v>#N/A</v>
      </c>
      <c r="AF54" s="367" t="str">
        <f ca="1">IF(RawMaterials[[#This Row],[Lab Quote Count]]&gt;1,SLOPE(LOG(INDIRECT("RawMaterials[@[Lab Unit P 1]:[Lab Unit P "&amp;RawMaterials[[#This Row],[Lab Quote Count]]&amp;"]]")),LOG(INDIRECT("RawMaterials[@[Lab Q Model Units 1]:[Lab Q Model Units "&amp;RawMaterials[[#This Row],[Lab Quote Count]]&amp;"]]"))),"")</f>
        <v/>
      </c>
      <c r="AG54" s="367" t="str">
        <f ca="1">IF(RawMaterials[[#This Row],[Lab Quote Count]]&gt;1,INTERCEPT(LOG(INDIRECT("RawMaterials[@[Lab Unit P 1]:[Lab Unit P "&amp;RawMaterials[[#This Row],[Lab Quote Count]]&amp;"]]")),LOG(INDIRECT("RawMaterials[@[Lab Q Model Units 1]:[Lab Q Model Units "&amp;RawMaterials[[#This Row],[Lab Quote Count]]&amp;"]]"))),"")</f>
        <v/>
      </c>
      <c r="AH54" s="368" t="str">
        <f>IF(RawMaterials[[#This Row],[Material Type]]="Metal Precursor","D13",IF(RawMaterials[[#This Row],[Material Type]]="Ligand","D13","D12"))</f>
        <v>D12</v>
      </c>
      <c r="AI54" s="369" t="str">
        <f ca="1">IF(RawMaterials[[#This Row],[Lab Quote Count]]&gt;1,10^RawMaterials[[#This Row],[Lab Log-Log Intercept]]*INDIRECT(RawMaterials[[#This Row],[Basis Cell]])^RawMaterials[[#This Row],[Lab Log-Log Slope]],"&gt;&gt;&gt; Enter 2 or more lab quotes &lt;&lt;&lt;")</f>
        <v>&gt;&gt;&gt; Enter 2 or more lab quotes &lt;&lt;&lt;</v>
      </c>
      <c r="AJ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4" s="372">
        <f>IF(ISTEXT(RawMaterials[[#This Row],[Unit price in quote year]]),"Check calcs",RawMaterials[[#This Row],[Unit price in quote year]]/VLOOKUP(RawMaterials[[#This Row],[Quote Year]],ChemPPI[],14,FALSE)*VLOOKUP(BasisYear,ChemPPI[],14,FALSE))</f>
        <v>1.0518419715447156</v>
      </c>
      <c r="AM54" s="373" t="str">
        <f t="shared" si="0"/>
        <v>$/lb (2016)</v>
      </c>
    </row>
    <row r="55" spans="1:39">
      <c r="A55" s="377" t="s">
        <v>181</v>
      </c>
      <c r="B55" s="379"/>
      <c r="C55" s="383"/>
      <c r="D55" s="378"/>
      <c r="E55" s="379">
        <v>100</v>
      </c>
      <c r="F55" s="379"/>
      <c r="G55" s="383"/>
      <c r="H55" s="383"/>
      <c r="I55" s="380"/>
      <c r="J55" s="383"/>
      <c r="K55" s="383"/>
      <c r="L55" s="383"/>
      <c r="M55" s="383"/>
      <c r="N55" s="383"/>
      <c r="O55" s="383"/>
      <c r="P55" s="381">
        <v>0.96</v>
      </c>
      <c r="Q55" s="264">
        <v>1</v>
      </c>
      <c r="R55" s="379" t="s">
        <v>20</v>
      </c>
      <c r="S55" s="379">
        <v>2018</v>
      </c>
      <c r="T55" s="366" t="s">
        <v>1105</v>
      </c>
      <c r="U55" s="382">
        <v>43339</v>
      </c>
      <c r="V55" s="269" t="s">
        <v>1716</v>
      </c>
      <c r="W55" s="366">
        <f>COUNT(RawMaterials[[#This Row],[Lab Quantity 1]:[Lab Quantity 4]])</f>
        <v>0</v>
      </c>
      <c r="X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 s="367" t="e">
        <f>RawMaterials[[#This Row],[Lab Price 1]]/RawMaterials[[#This Row],[Lab Q Model Units 1]]</f>
        <v>#N/A</v>
      </c>
      <c r="AC55" s="367" t="e">
        <f>RawMaterials[[#This Row],[Lab Price 2]]/RawMaterials[[#This Row],[Lab Q Model Units 2]]</f>
        <v>#N/A</v>
      </c>
      <c r="AD55" s="367" t="e">
        <f>RawMaterials[[#This Row],[Lab Price 3]]/RawMaterials[[#This Row],[Lab Q Model Units 3]]</f>
        <v>#N/A</v>
      </c>
      <c r="AE55" s="367" t="e">
        <f>RawMaterials[[#This Row],[Lab Price 4]]/RawMaterials[[#This Row],[Lab Q Model Units 4]]</f>
        <v>#N/A</v>
      </c>
      <c r="AF55" s="367" t="str">
        <f ca="1">IF(RawMaterials[[#This Row],[Lab Quote Count]]&gt;1,SLOPE(LOG(INDIRECT("RawMaterials[@[Lab Unit P 1]:[Lab Unit P "&amp;RawMaterials[[#This Row],[Lab Quote Count]]&amp;"]]")),LOG(INDIRECT("RawMaterials[@[Lab Q Model Units 1]:[Lab Q Model Units "&amp;RawMaterials[[#This Row],[Lab Quote Count]]&amp;"]]"))),"")</f>
        <v/>
      </c>
      <c r="AG55" s="367" t="str">
        <f ca="1">IF(RawMaterials[[#This Row],[Lab Quote Count]]&gt;1,INTERCEPT(LOG(INDIRECT("RawMaterials[@[Lab Unit P 1]:[Lab Unit P "&amp;RawMaterials[[#This Row],[Lab Quote Count]]&amp;"]]")),LOG(INDIRECT("RawMaterials[@[Lab Q Model Units 1]:[Lab Q Model Units "&amp;RawMaterials[[#This Row],[Lab Quote Count]]&amp;"]]"))),"")</f>
        <v/>
      </c>
      <c r="AH55" s="368" t="str">
        <f>IF(RawMaterials[[#This Row],[Material Type]]="Metal Precursor","D13",IF(RawMaterials[[#This Row],[Material Type]]="Ligand","D13","D12"))</f>
        <v>D12</v>
      </c>
      <c r="AI55" s="369" t="str">
        <f ca="1">IF(RawMaterials[[#This Row],[Lab Quote Count]]&gt;1,10^RawMaterials[[#This Row],[Lab Log-Log Intercept]]*INDIRECT(RawMaterials[[#This Row],[Basis Cell]])^RawMaterials[[#This Row],[Lab Log-Log Slope]],"&gt;&gt;&gt; Enter 2 or more lab quotes &lt;&lt;&lt;")</f>
        <v>&gt;&gt;&gt; Enter 2 or more lab quotes &lt;&lt;&lt;</v>
      </c>
      <c r="AJ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55" s="372">
        <f>IF(ISTEXT(RawMaterials[[#This Row],[Unit price in quote year]]),"Check calcs",RawMaterials[[#This Row],[Unit price in quote year]]/VLOOKUP(RawMaterials[[#This Row],[Quote Year]],ChemPPI[],14,FALSE)*VLOOKUP(BasisYear,ChemPPI[],14,FALSE))</f>
        <v>0.89194378739390567</v>
      </c>
      <c r="AM55" s="373" t="str">
        <f t="shared" si="0"/>
        <v>$/lb (2016)</v>
      </c>
    </row>
    <row r="56" spans="1:39">
      <c r="A56" s="263" t="s">
        <v>1163</v>
      </c>
      <c r="B56" s="264"/>
      <c r="C56" s="271"/>
      <c r="D56" s="365"/>
      <c r="E56" s="264">
        <v>100</v>
      </c>
      <c r="F56" s="264"/>
      <c r="G56" s="271"/>
      <c r="H56" s="271"/>
      <c r="I56" s="268"/>
      <c r="J56" s="271"/>
      <c r="K56" s="271"/>
      <c r="L56" s="271"/>
      <c r="M56" s="271"/>
      <c r="N56" s="271"/>
      <c r="O56" s="271"/>
      <c r="P56" s="265">
        <v>447.5</v>
      </c>
      <c r="Q56" s="264">
        <v>1</v>
      </c>
      <c r="R56" s="264" t="s">
        <v>406</v>
      </c>
      <c r="S56" s="264">
        <v>2006</v>
      </c>
      <c r="T56" s="266" t="s">
        <v>163</v>
      </c>
      <c r="U56" s="267">
        <v>42653</v>
      </c>
      <c r="V56" s="269"/>
      <c r="W56" s="366">
        <f>COUNT(RawMaterials[[#This Row],[Lab Quantity 1]:[Lab Quantity 4]])</f>
        <v>0</v>
      </c>
      <c r="X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 s="367" t="e">
        <f>RawMaterials[[#This Row],[Lab Price 1]]/RawMaterials[[#This Row],[Lab Q Model Units 1]]</f>
        <v>#N/A</v>
      </c>
      <c r="AC56" s="367" t="e">
        <f>RawMaterials[[#This Row],[Lab Price 2]]/RawMaterials[[#This Row],[Lab Q Model Units 2]]</f>
        <v>#N/A</v>
      </c>
      <c r="AD56" s="367" t="e">
        <f>RawMaterials[[#This Row],[Lab Price 3]]/RawMaterials[[#This Row],[Lab Q Model Units 3]]</f>
        <v>#N/A</v>
      </c>
      <c r="AE56" s="367" t="e">
        <f>RawMaterials[[#This Row],[Lab Price 4]]/RawMaterials[[#This Row],[Lab Q Model Units 4]]</f>
        <v>#N/A</v>
      </c>
      <c r="AF56" s="367" t="str">
        <f ca="1">IF(RawMaterials[[#This Row],[Lab Quote Count]]&gt;1,SLOPE(LOG(INDIRECT("RawMaterials[@[Lab Unit P 1]:[Lab Unit P "&amp;RawMaterials[[#This Row],[Lab Quote Count]]&amp;"]]")),LOG(INDIRECT("RawMaterials[@[Lab Q Model Units 1]:[Lab Q Model Units "&amp;RawMaterials[[#This Row],[Lab Quote Count]]&amp;"]]"))),"")</f>
        <v/>
      </c>
      <c r="AG56" s="367" t="str">
        <f ca="1">IF(RawMaterials[[#This Row],[Lab Quote Count]]&gt;1,INTERCEPT(LOG(INDIRECT("RawMaterials[@[Lab Unit P 1]:[Lab Unit P "&amp;RawMaterials[[#This Row],[Lab Quote Count]]&amp;"]]")),LOG(INDIRECT("RawMaterials[@[Lab Q Model Units 1]:[Lab Q Model Units "&amp;RawMaterials[[#This Row],[Lab Quote Count]]&amp;"]]"))),"")</f>
        <v/>
      </c>
      <c r="AH56" s="368" t="str">
        <f>IF(RawMaterials[[#This Row],[Material Type]]="Metal Precursor","D13",IF(RawMaterials[[#This Row],[Material Type]]="Ligand","D13","D12"))</f>
        <v>D12</v>
      </c>
      <c r="AI56" s="369" t="str">
        <f ca="1">IF(RawMaterials[[#This Row],[Lab Quote Count]]&gt;1,10^RawMaterials[[#This Row],[Lab Log-Log Intercept]]*INDIRECT(RawMaterials[[#This Row],[Basis Cell]])^RawMaterials[[#This Row],[Lab Log-Log Slope]],"&gt;&gt;&gt; Enter 2 or more lab quotes &lt;&lt;&lt;")</f>
        <v>&gt;&gt;&gt; Enter 2 or more lab quotes &lt;&lt;&lt;</v>
      </c>
      <c r="AJ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0.22375</v>
      </c>
      <c r="AL56" s="372">
        <f>IF(ISTEXT(RawMaterials[[#This Row],[Unit price in quote year]]),"Check calcs",RawMaterials[[#This Row],[Unit price in quote year]]/VLOOKUP(RawMaterials[[#This Row],[Quote Year]],ChemPPI[],14,FALSE)*VLOOKUP(BasisYear,ChemPPI[],14,FALSE))</f>
        <v>0.30367695630081304</v>
      </c>
      <c r="AM56" s="373" t="str">
        <f t="shared" si="0"/>
        <v>$/lb (2016)</v>
      </c>
    </row>
    <row r="57" spans="1:39">
      <c r="A57" s="263" t="s">
        <v>1164</v>
      </c>
      <c r="B57" s="264"/>
      <c r="C57" s="271"/>
      <c r="D57" s="365"/>
      <c r="E57" s="264">
        <v>100</v>
      </c>
      <c r="F57" s="264"/>
      <c r="G57" s="271"/>
      <c r="H57" s="271"/>
      <c r="I57" s="268"/>
      <c r="J57" s="271"/>
      <c r="K57" s="271"/>
      <c r="L57" s="271"/>
      <c r="M57" s="271"/>
      <c r="N57" s="271"/>
      <c r="O57" s="271"/>
      <c r="P57" s="265">
        <v>335</v>
      </c>
      <c r="Q57" s="264">
        <v>1</v>
      </c>
      <c r="R57" s="264" t="s">
        <v>406</v>
      </c>
      <c r="S57" s="264">
        <v>2006</v>
      </c>
      <c r="T57" s="266" t="s">
        <v>163</v>
      </c>
      <c r="U57" s="267">
        <v>42653</v>
      </c>
      <c r="V57" s="269"/>
      <c r="W57" s="366">
        <f>COUNT(RawMaterials[[#This Row],[Lab Quantity 1]:[Lab Quantity 4]])</f>
        <v>0</v>
      </c>
      <c r="X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 s="367" t="e">
        <f>RawMaterials[[#This Row],[Lab Price 1]]/RawMaterials[[#This Row],[Lab Q Model Units 1]]</f>
        <v>#N/A</v>
      </c>
      <c r="AC57" s="367" t="e">
        <f>RawMaterials[[#This Row],[Lab Price 2]]/RawMaterials[[#This Row],[Lab Q Model Units 2]]</f>
        <v>#N/A</v>
      </c>
      <c r="AD57" s="367" t="e">
        <f>RawMaterials[[#This Row],[Lab Price 3]]/RawMaterials[[#This Row],[Lab Q Model Units 3]]</f>
        <v>#N/A</v>
      </c>
      <c r="AE57" s="367" t="e">
        <f>RawMaterials[[#This Row],[Lab Price 4]]/RawMaterials[[#This Row],[Lab Q Model Units 4]]</f>
        <v>#N/A</v>
      </c>
      <c r="AF57" s="367" t="str">
        <f ca="1">IF(RawMaterials[[#This Row],[Lab Quote Count]]&gt;1,SLOPE(LOG(INDIRECT("RawMaterials[@[Lab Unit P 1]:[Lab Unit P "&amp;RawMaterials[[#This Row],[Lab Quote Count]]&amp;"]]")),LOG(INDIRECT("RawMaterials[@[Lab Q Model Units 1]:[Lab Q Model Units "&amp;RawMaterials[[#This Row],[Lab Quote Count]]&amp;"]]"))),"")</f>
        <v/>
      </c>
      <c r="AG57" s="367" t="str">
        <f ca="1">IF(RawMaterials[[#This Row],[Lab Quote Count]]&gt;1,INTERCEPT(LOG(INDIRECT("RawMaterials[@[Lab Unit P 1]:[Lab Unit P "&amp;RawMaterials[[#This Row],[Lab Quote Count]]&amp;"]]")),LOG(INDIRECT("RawMaterials[@[Lab Q Model Units 1]:[Lab Q Model Units "&amp;RawMaterials[[#This Row],[Lab Quote Count]]&amp;"]]"))),"")</f>
        <v/>
      </c>
      <c r="AH57" s="368" t="str">
        <f>IF(RawMaterials[[#This Row],[Material Type]]="Metal Precursor","D13",IF(RawMaterials[[#This Row],[Material Type]]="Ligand","D13","D12"))</f>
        <v>D12</v>
      </c>
      <c r="AI57" s="369" t="str">
        <f ca="1">IF(RawMaterials[[#This Row],[Lab Quote Count]]&gt;1,10^RawMaterials[[#This Row],[Lab Log-Log Intercept]]*INDIRECT(RawMaterials[[#This Row],[Basis Cell]])^RawMaterials[[#This Row],[Lab Log-Log Slope]],"&gt;&gt;&gt; Enter 2 or more lab quotes &lt;&lt;&lt;")</f>
        <v>&gt;&gt;&gt; Enter 2 or more lab quotes &lt;&lt;&lt;</v>
      </c>
      <c r="AJ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0.16750000000000001</v>
      </c>
      <c r="AL57" s="372">
        <f>IF(ISTEXT(RawMaterials[[#This Row],[Unit price in quote year]]),"Check calcs",RawMaterials[[#This Row],[Unit price in quote year]]/VLOOKUP(RawMaterials[[#This Row],[Quote Year]],ChemPPI[],14,FALSE)*VLOOKUP(BasisYear,ChemPPI[],14,FALSE))</f>
        <v>0.22733358739837403</v>
      </c>
      <c r="AM57" s="373" t="str">
        <f t="shared" si="0"/>
        <v>$/lb (2016)</v>
      </c>
    </row>
    <row r="58" spans="1:39">
      <c r="A58" s="263" t="s">
        <v>1165</v>
      </c>
      <c r="B58" s="264"/>
      <c r="C58" s="271"/>
      <c r="D58" s="365"/>
      <c r="E58" s="264">
        <v>100</v>
      </c>
      <c r="F58" s="264"/>
      <c r="G58" s="271"/>
      <c r="H58" s="271"/>
      <c r="I58" s="268"/>
      <c r="J58" s="271"/>
      <c r="K58" s="271"/>
      <c r="L58" s="271"/>
      <c r="M58" s="271"/>
      <c r="N58" s="271"/>
      <c r="O58" s="271"/>
      <c r="P58" s="265">
        <v>425</v>
      </c>
      <c r="Q58" s="264">
        <v>1</v>
      </c>
      <c r="R58" s="264" t="s">
        <v>406</v>
      </c>
      <c r="S58" s="264">
        <v>2006</v>
      </c>
      <c r="T58" s="266" t="s">
        <v>163</v>
      </c>
      <c r="U58" s="267">
        <v>42653</v>
      </c>
      <c r="V58" s="269"/>
      <c r="W58" s="366">
        <f>COUNT(RawMaterials[[#This Row],[Lab Quantity 1]:[Lab Quantity 4]])</f>
        <v>0</v>
      </c>
      <c r="X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 s="367" t="e">
        <f>RawMaterials[[#This Row],[Lab Price 1]]/RawMaterials[[#This Row],[Lab Q Model Units 1]]</f>
        <v>#N/A</v>
      </c>
      <c r="AC58" s="367" t="e">
        <f>RawMaterials[[#This Row],[Lab Price 2]]/RawMaterials[[#This Row],[Lab Q Model Units 2]]</f>
        <v>#N/A</v>
      </c>
      <c r="AD58" s="367" t="e">
        <f>RawMaterials[[#This Row],[Lab Price 3]]/RawMaterials[[#This Row],[Lab Q Model Units 3]]</f>
        <v>#N/A</v>
      </c>
      <c r="AE58" s="367" t="e">
        <f>RawMaterials[[#This Row],[Lab Price 4]]/RawMaterials[[#This Row],[Lab Q Model Units 4]]</f>
        <v>#N/A</v>
      </c>
      <c r="AF58" s="367" t="str">
        <f ca="1">IF(RawMaterials[[#This Row],[Lab Quote Count]]&gt;1,SLOPE(LOG(INDIRECT("RawMaterials[@[Lab Unit P 1]:[Lab Unit P "&amp;RawMaterials[[#This Row],[Lab Quote Count]]&amp;"]]")),LOG(INDIRECT("RawMaterials[@[Lab Q Model Units 1]:[Lab Q Model Units "&amp;RawMaterials[[#This Row],[Lab Quote Count]]&amp;"]]"))),"")</f>
        <v/>
      </c>
      <c r="AG58" s="367" t="str">
        <f ca="1">IF(RawMaterials[[#This Row],[Lab Quote Count]]&gt;1,INTERCEPT(LOG(INDIRECT("RawMaterials[@[Lab Unit P 1]:[Lab Unit P "&amp;RawMaterials[[#This Row],[Lab Quote Count]]&amp;"]]")),LOG(INDIRECT("RawMaterials[@[Lab Q Model Units 1]:[Lab Q Model Units "&amp;RawMaterials[[#This Row],[Lab Quote Count]]&amp;"]]"))),"")</f>
        <v/>
      </c>
      <c r="AH58" s="368" t="str">
        <f>IF(RawMaterials[[#This Row],[Material Type]]="Metal Precursor","D13",IF(RawMaterials[[#This Row],[Material Type]]="Ligand","D13","D12"))</f>
        <v>D12</v>
      </c>
      <c r="AI58" s="369" t="str">
        <f ca="1">IF(RawMaterials[[#This Row],[Lab Quote Count]]&gt;1,10^RawMaterials[[#This Row],[Lab Log-Log Intercept]]*INDIRECT(RawMaterials[[#This Row],[Basis Cell]])^RawMaterials[[#This Row],[Lab Log-Log Slope]],"&gt;&gt;&gt; Enter 2 or more lab quotes &lt;&lt;&lt;")</f>
        <v>&gt;&gt;&gt; Enter 2 or more lab quotes &lt;&lt;&lt;</v>
      </c>
      <c r="AJ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0.21249999999999999</v>
      </c>
      <c r="AL58" s="372">
        <f>IF(ISTEXT(RawMaterials[[#This Row],[Unit price in quote year]]),"Check calcs",RawMaterials[[#This Row],[Unit price in quote year]]/VLOOKUP(RawMaterials[[#This Row],[Quote Year]],ChemPPI[],14,FALSE)*VLOOKUP(BasisYear,ChemPPI[],14,FALSE))</f>
        <v>0.28840828252032524</v>
      </c>
      <c r="AM58" s="373" t="str">
        <f t="shared" si="0"/>
        <v>$/lb (2016)</v>
      </c>
    </row>
    <row r="59" spans="1:39">
      <c r="A59" s="263" t="s">
        <v>1166</v>
      </c>
      <c r="B59" s="264"/>
      <c r="C59" s="271"/>
      <c r="D59" s="365"/>
      <c r="E59" s="264">
        <v>100</v>
      </c>
      <c r="F59" s="264"/>
      <c r="G59" s="271"/>
      <c r="H59" s="271"/>
      <c r="I59" s="268"/>
      <c r="J59" s="271"/>
      <c r="K59" s="271"/>
      <c r="L59" s="271"/>
      <c r="M59" s="271"/>
      <c r="N59" s="271"/>
      <c r="O59" s="271"/>
      <c r="P59" s="265">
        <v>331</v>
      </c>
      <c r="Q59" s="264">
        <v>1</v>
      </c>
      <c r="R59" s="264" t="s">
        <v>20</v>
      </c>
      <c r="S59" s="264">
        <v>2006</v>
      </c>
      <c r="T59" s="266" t="s">
        <v>163</v>
      </c>
      <c r="U59" s="267">
        <v>42653</v>
      </c>
      <c r="V59" s="269"/>
      <c r="W59" s="366">
        <f>COUNT(RawMaterials[[#This Row],[Lab Quantity 1]:[Lab Quantity 4]])</f>
        <v>0</v>
      </c>
      <c r="X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 s="367" t="e">
        <f>RawMaterials[[#This Row],[Lab Price 1]]/RawMaterials[[#This Row],[Lab Q Model Units 1]]</f>
        <v>#N/A</v>
      </c>
      <c r="AC59" s="367" t="e">
        <f>RawMaterials[[#This Row],[Lab Price 2]]/RawMaterials[[#This Row],[Lab Q Model Units 2]]</f>
        <v>#N/A</v>
      </c>
      <c r="AD59" s="367" t="e">
        <f>RawMaterials[[#This Row],[Lab Price 3]]/RawMaterials[[#This Row],[Lab Q Model Units 3]]</f>
        <v>#N/A</v>
      </c>
      <c r="AE59" s="367" t="e">
        <f>RawMaterials[[#This Row],[Lab Price 4]]/RawMaterials[[#This Row],[Lab Q Model Units 4]]</f>
        <v>#N/A</v>
      </c>
      <c r="AF59" s="367" t="str">
        <f ca="1">IF(RawMaterials[[#This Row],[Lab Quote Count]]&gt;1,SLOPE(LOG(INDIRECT("RawMaterials[@[Lab Unit P 1]:[Lab Unit P "&amp;RawMaterials[[#This Row],[Lab Quote Count]]&amp;"]]")),LOG(INDIRECT("RawMaterials[@[Lab Q Model Units 1]:[Lab Q Model Units "&amp;RawMaterials[[#This Row],[Lab Quote Count]]&amp;"]]"))),"")</f>
        <v/>
      </c>
      <c r="AG59" s="367" t="str">
        <f ca="1">IF(RawMaterials[[#This Row],[Lab Quote Count]]&gt;1,INTERCEPT(LOG(INDIRECT("RawMaterials[@[Lab Unit P 1]:[Lab Unit P "&amp;RawMaterials[[#This Row],[Lab Quote Count]]&amp;"]]")),LOG(INDIRECT("RawMaterials[@[Lab Q Model Units 1]:[Lab Q Model Units "&amp;RawMaterials[[#This Row],[Lab Quote Count]]&amp;"]]"))),"")</f>
        <v/>
      </c>
      <c r="AH59" s="368" t="str">
        <f>IF(RawMaterials[[#This Row],[Material Type]]="Metal Precursor","D13",IF(RawMaterials[[#This Row],[Material Type]]="Ligand","D13","D12"))</f>
        <v>D12</v>
      </c>
      <c r="AI59" s="369" t="str">
        <f ca="1">IF(RawMaterials[[#This Row],[Lab Quote Count]]&gt;1,10^RawMaterials[[#This Row],[Lab Log-Log Intercept]]*INDIRECT(RawMaterials[[#This Row],[Basis Cell]])^RawMaterials[[#This Row],[Lab Log-Log Slope]],"&gt;&gt;&gt; Enter 2 or more lab quotes &lt;&lt;&lt;")</f>
        <v>&gt;&gt;&gt; Enter 2 or more lab quotes &lt;&lt;&lt;</v>
      </c>
      <c r="AJ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v>
      </c>
      <c r="AL59" s="372">
        <f>IF(ISTEXT(RawMaterials[[#This Row],[Unit price in quote year]]),"Check calcs",RawMaterials[[#This Row],[Unit price in quote year]]/VLOOKUP(RawMaterials[[#This Row],[Quote Year]],ChemPPI[],14,FALSE)*VLOOKUP(BasisYear,ChemPPI[],14,FALSE))</f>
        <v>449.23831300813015</v>
      </c>
      <c r="AM59" s="373" t="str">
        <f t="shared" si="0"/>
        <v>$/lb (2016)</v>
      </c>
    </row>
    <row r="60" spans="1:39">
      <c r="A60" s="263" t="s">
        <v>1167</v>
      </c>
      <c r="B60" s="264"/>
      <c r="C60" s="271"/>
      <c r="D60" s="365"/>
      <c r="E60" s="264">
        <v>100</v>
      </c>
      <c r="F60" s="264"/>
      <c r="G60" s="271"/>
      <c r="H60" s="271"/>
      <c r="I60" s="268"/>
      <c r="J60" s="271"/>
      <c r="K60" s="271"/>
      <c r="L60" s="271"/>
      <c r="M60" s="271"/>
      <c r="N60" s="271"/>
      <c r="O60" s="271"/>
      <c r="P60" s="265">
        <v>370</v>
      </c>
      <c r="Q60" s="264">
        <v>1</v>
      </c>
      <c r="R60" s="264" t="s">
        <v>406</v>
      </c>
      <c r="S60" s="264">
        <v>2006</v>
      </c>
      <c r="T60" s="266" t="s">
        <v>163</v>
      </c>
      <c r="U60" s="267">
        <v>42653</v>
      </c>
      <c r="V60" s="269"/>
      <c r="W60" s="366">
        <f>COUNT(RawMaterials[[#This Row],[Lab Quantity 1]:[Lab Quantity 4]])</f>
        <v>0</v>
      </c>
      <c r="X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 s="367" t="e">
        <f>RawMaterials[[#This Row],[Lab Price 1]]/RawMaterials[[#This Row],[Lab Q Model Units 1]]</f>
        <v>#N/A</v>
      </c>
      <c r="AC60" s="367" t="e">
        <f>RawMaterials[[#This Row],[Lab Price 2]]/RawMaterials[[#This Row],[Lab Q Model Units 2]]</f>
        <v>#N/A</v>
      </c>
      <c r="AD60" s="367" t="e">
        <f>RawMaterials[[#This Row],[Lab Price 3]]/RawMaterials[[#This Row],[Lab Q Model Units 3]]</f>
        <v>#N/A</v>
      </c>
      <c r="AE60" s="367" t="e">
        <f>RawMaterials[[#This Row],[Lab Price 4]]/RawMaterials[[#This Row],[Lab Q Model Units 4]]</f>
        <v>#N/A</v>
      </c>
      <c r="AF60" s="367" t="str">
        <f ca="1">IF(RawMaterials[[#This Row],[Lab Quote Count]]&gt;1,SLOPE(LOG(INDIRECT("RawMaterials[@[Lab Unit P 1]:[Lab Unit P "&amp;RawMaterials[[#This Row],[Lab Quote Count]]&amp;"]]")),LOG(INDIRECT("RawMaterials[@[Lab Q Model Units 1]:[Lab Q Model Units "&amp;RawMaterials[[#This Row],[Lab Quote Count]]&amp;"]]"))),"")</f>
        <v/>
      </c>
      <c r="AG60" s="367" t="str">
        <f ca="1">IF(RawMaterials[[#This Row],[Lab Quote Count]]&gt;1,INTERCEPT(LOG(INDIRECT("RawMaterials[@[Lab Unit P 1]:[Lab Unit P "&amp;RawMaterials[[#This Row],[Lab Quote Count]]&amp;"]]")),LOG(INDIRECT("RawMaterials[@[Lab Q Model Units 1]:[Lab Q Model Units "&amp;RawMaterials[[#This Row],[Lab Quote Count]]&amp;"]]"))),"")</f>
        <v/>
      </c>
      <c r="AH60" s="368" t="str">
        <f>IF(RawMaterials[[#This Row],[Material Type]]="Metal Precursor","D13",IF(RawMaterials[[#This Row],[Material Type]]="Ligand","D13","D12"))</f>
        <v>D12</v>
      </c>
      <c r="AI60" s="369" t="str">
        <f ca="1">IF(RawMaterials[[#This Row],[Lab Quote Count]]&gt;1,10^RawMaterials[[#This Row],[Lab Log-Log Intercept]]*INDIRECT(RawMaterials[[#This Row],[Basis Cell]])^RawMaterials[[#This Row],[Lab Log-Log Slope]],"&gt;&gt;&gt; Enter 2 or more lab quotes &lt;&lt;&lt;")</f>
        <v>&gt;&gt;&gt; Enter 2 or more lab quotes &lt;&lt;&lt;</v>
      </c>
      <c r="AJ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60" s="372">
        <f>IF(ISTEXT(RawMaterials[[#This Row],[Unit price in quote year]]),"Check calcs",RawMaterials[[#This Row],[Unit price in quote year]]/VLOOKUP(RawMaterials[[#This Row],[Quote Year]],ChemPPI[],14,FALSE)*VLOOKUP(BasisYear,ChemPPI[],14,FALSE))</f>
        <v>0.25108485772357725</v>
      </c>
      <c r="AM60" s="373" t="str">
        <f t="shared" si="0"/>
        <v>$/lb (2016)</v>
      </c>
    </row>
    <row r="61" spans="1:39">
      <c r="A61" s="263" t="s">
        <v>1168</v>
      </c>
      <c r="B61" s="264"/>
      <c r="C61" s="271"/>
      <c r="D61" s="365"/>
      <c r="E61" s="264">
        <v>100</v>
      </c>
      <c r="F61" s="264"/>
      <c r="G61" s="271"/>
      <c r="H61" s="271"/>
      <c r="I61" s="268"/>
      <c r="J61" s="271"/>
      <c r="K61" s="271"/>
      <c r="L61" s="271"/>
      <c r="M61" s="271"/>
      <c r="N61" s="271"/>
      <c r="O61" s="271"/>
      <c r="P61" s="265">
        <v>2.73</v>
      </c>
      <c r="Q61" s="264">
        <v>1</v>
      </c>
      <c r="R61" s="264" t="s">
        <v>71</v>
      </c>
      <c r="S61" s="264">
        <v>2006</v>
      </c>
      <c r="T61" s="266" t="s">
        <v>163</v>
      </c>
      <c r="U61" s="267">
        <v>42653</v>
      </c>
      <c r="V61" s="269"/>
      <c r="W61" s="366">
        <f>COUNT(RawMaterials[[#This Row],[Lab Quantity 1]:[Lab Quantity 4]])</f>
        <v>0</v>
      </c>
      <c r="X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 s="367" t="e">
        <f>RawMaterials[[#This Row],[Lab Price 1]]/RawMaterials[[#This Row],[Lab Q Model Units 1]]</f>
        <v>#N/A</v>
      </c>
      <c r="AC61" s="367" t="e">
        <f>RawMaterials[[#This Row],[Lab Price 2]]/RawMaterials[[#This Row],[Lab Q Model Units 2]]</f>
        <v>#N/A</v>
      </c>
      <c r="AD61" s="367" t="e">
        <f>RawMaterials[[#This Row],[Lab Price 3]]/RawMaterials[[#This Row],[Lab Q Model Units 3]]</f>
        <v>#N/A</v>
      </c>
      <c r="AE61" s="367" t="e">
        <f>RawMaterials[[#This Row],[Lab Price 4]]/RawMaterials[[#This Row],[Lab Q Model Units 4]]</f>
        <v>#N/A</v>
      </c>
      <c r="AF61" s="367" t="str">
        <f ca="1">IF(RawMaterials[[#This Row],[Lab Quote Count]]&gt;1,SLOPE(LOG(INDIRECT("RawMaterials[@[Lab Unit P 1]:[Lab Unit P "&amp;RawMaterials[[#This Row],[Lab Quote Count]]&amp;"]]")),LOG(INDIRECT("RawMaterials[@[Lab Q Model Units 1]:[Lab Q Model Units "&amp;RawMaterials[[#This Row],[Lab Quote Count]]&amp;"]]"))),"")</f>
        <v/>
      </c>
      <c r="AG61" s="367" t="str">
        <f ca="1">IF(RawMaterials[[#This Row],[Lab Quote Count]]&gt;1,INTERCEPT(LOG(INDIRECT("RawMaterials[@[Lab Unit P 1]:[Lab Unit P "&amp;RawMaterials[[#This Row],[Lab Quote Count]]&amp;"]]")),LOG(INDIRECT("RawMaterials[@[Lab Q Model Units 1]:[Lab Q Model Units "&amp;RawMaterials[[#This Row],[Lab Quote Count]]&amp;"]]"))),"")</f>
        <v/>
      </c>
      <c r="AH61" s="368" t="str">
        <f>IF(RawMaterials[[#This Row],[Material Type]]="Metal Precursor","D13",IF(RawMaterials[[#This Row],[Material Type]]="Ligand","D13","D12"))</f>
        <v>D12</v>
      </c>
      <c r="AI61" s="369" t="str">
        <f ca="1">IF(RawMaterials[[#This Row],[Lab Quote Count]]&gt;1,10^RawMaterials[[#This Row],[Lab Log-Log Intercept]]*INDIRECT(RawMaterials[[#This Row],[Basis Cell]])^RawMaterials[[#This Row],[Lab Log-Log Slope]],"&gt;&gt;&gt; Enter 2 or more lab quotes &lt;&lt;&lt;")</f>
        <v>&gt;&gt;&gt; Enter 2 or more lab quotes &lt;&lt;&lt;</v>
      </c>
      <c r="AJ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1.2383071701000001</v>
      </c>
      <c r="AL61" s="372">
        <f>IF(ISTEXT(RawMaterials[[#This Row],[Unit price in quote year]]),"Check calcs",RawMaterials[[#This Row],[Unit price in quote year]]/VLOOKUP(RawMaterials[[#This Row],[Quote Year]],ChemPPI[],14,FALSE)*VLOOKUP(BasisYear,ChemPPI[],14,FALSE))</f>
        <v>1.6806496195818603</v>
      </c>
      <c r="AM61" s="373" t="str">
        <f t="shared" si="0"/>
        <v>$/lb (2016)</v>
      </c>
    </row>
    <row r="62" spans="1:39">
      <c r="A62" s="263" t="s">
        <v>1169</v>
      </c>
      <c r="B62" s="264"/>
      <c r="C62" s="271"/>
      <c r="D62" s="365"/>
      <c r="E62" s="264">
        <v>100</v>
      </c>
      <c r="F62" s="264"/>
      <c r="G62" s="271"/>
      <c r="H62" s="271"/>
      <c r="I62" s="268"/>
      <c r="J62" s="271"/>
      <c r="K62" s="271"/>
      <c r="L62" s="271"/>
      <c r="M62" s="271"/>
      <c r="N62" s="271"/>
      <c r="O62" s="271"/>
      <c r="P62" s="265">
        <v>126.48</v>
      </c>
      <c r="Q62" s="264">
        <v>1</v>
      </c>
      <c r="R62" s="264" t="s">
        <v>1123</v>
      </c>
      <c r="S62" s="264">
        <v>2006</v>
      </c>
      <c r="T62" s="266" t="s">
        <v>163</v>
      </c>
      <c r="U62" s="267">
        <v>42653</v>
      </c>
      <c r="V62" s="269"/>
      <c r="W62" s="366">
        <f>COUNT(RawMaterials[[#This Row],[Lab Quantity 1]:[Lab Quantity 4]])</f>
        <v>0</v>
      </c>
      <c r="X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 s="367" t="e">
        <f>RawMaterials[[#This Row],[Lab Price 1]]/RawMaterials[[#This Row],[Lab Q Model Units 1]]</f>
        <v>#N/A</v>
      </c>
      <c r="AC62" s="367" t="e">
        <f>RawMaterials[[#This Row],[Lab Price 2]]/RawMaterials[[#This Row],[Lab Q Model Units 2]]</f>
        <v>#N/A</v>
      </c>
      <c r="AD62" s="367" t="e">
        <f>RawMaterials[[#This Row],[Lab Price 3]]/RawMaterials[[#This Row],[Lab Q Model Units 3]]</f>
        <v>#N/A</v>
      </c>
      <c r="AE62" s="367" t="e">
        <f>RawMaterials[[#This Row],[Lab Price 4]]/RawMaterials[[#This Row],[Lab Q Model Units 4]]</f>
        <v>#N/A</v>
      </c>
      <c r="AF62" s="367" t="str">
        <f ca="1">IF(RawMaterials[[#This Row],[Lab Quote Count]]&gt;1,SLOPE(LOG(INDIRECT("RawMaterials[@[Lab Unit P 1]:[Lab Unit P "&amp;RawMaterials[[#This Row],[Lab Quote Count]]&amp;"]]")),LOG(INDIRECT("RawMaterials[@[Lab Q Model Units 1]:[Lab Q Model Units "&amp;RawMaterials[[#This Row],[Lab Quote Count]]&amp;"]]"))),"")</f>
        <v/>
      </c>
      <c r="AG62" s="367" t="str">
        <f ca="1">IF(RawMaterials[[#This Row],[Lab Quote Count]]&gt;1,INTERCEPT(LOG(INDIRECT("RawMaterials[@[Lab Unit P 1]:[Lab Unit P "&amp;RawMaterials[[#This Row],[Lab Quote Count]]&amp;"]]")),LOG(INDIRECT("RawMaterials[@[Lab Q Model Units 1]:[Lab Q Model Units "&amp;RawMaterials[[#This Row],[Lab Quote Count]]&amp;"]]"))),"")</f>
        <v/>
      </c>
      <c r="AH62" s="368" t="str">
        <f>IF(RawMaterials[[#This Row],[Material Type]]="Metal Precursor","D13",IF(RawMaterials[[#This Row],[Material Type]]="Ligand","D13","D12"))</f>
        <v>D12</v>
      </c>
      <c r="AI62" s="369" t="str">
        <f ca="1">IF(RawMaterials[[#This Row],[Lab Quote Count]]&gt;1,10^RawMaterials[[#This Row],[Lab Log-Log Intercept]]*INDIRECT(RawMaterials[[#This Row],[Basis Cell]])^RawMaterials[[#This Row],[Lab Log-Log Slope]],"&gt;&gt;&gt; Enter 2 or more lab quotes &lt;&lt;&lt;")</f>
        <v>&gt;&gt;&gt; Enter 2 or more lab quotes &lt;&lt;&lt;</v>
      </c>
      <c r="AJ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5.73703629576E-2</v>
      </c>
      <c r="AL62" s="372">
        <f>IF(ISTEXT(RawMaterials[[#This Row],[Unit price in quote year]]),"Check calcs",RawMaterials[[#This Row],[Unit price in quote year]]/VLOOKUP(RawMaterials[[#This Row],[Quote Year]],ChemPPI[],14,FALSE)*VLOOKUP(BasisYear,ChemPPI[],14,FALSE))</f>
        <v>7.7863942814913434E-2</v>
      </c>
      <c r="AM62" s="373" t="str">
        <f t="shared" si="0"/>
        <v>$/lb (2016)</v>
      </c>
    </row>
    <row r="63" spans="1:39">
      <c r="A63" s="263" t="s">
        <v>1170</v>
      </c>
      <c r="B63" s="264"/>
      <c r="C63" s="271"/>
      <c r="D63" s="365"/>
      <c r="E63" s="264">
        <v>100</v>
      </c>
      <c r="F63" s="264"/>
      <c r="G63" s="271"/>
      <c r="H63" s="271"/>
      <c r="I63" s="268"/>
      <c r="J63" s="271"/>
      <c r="K63" s="271"/>
      <c r="L63" s="271"/>
      <c r="M63" s="271"/>
      <c r="N63" s="271"/>
      <c r="O63" s="271"/>
      <c r="P63" s="265">
        <v>602.5</v>
      </c>
      <c r="Q63" s="264">
        <v>1</v>
      </c>
      <c r="R63" s="264" t="s">
        <v>1123</v>
      </c>
      <c r="S63" s="264">
        <v>2008</v>
      </c>
      <c r="T63" s="266" t="s">
        <v>163</v>
      </c>
      <c r="U63" s="267">
        <v>42653</v>
      </c>
      <c r="V63" s="269"/>
      <c r="W63" s="366">
        <f>COUNT(RawMaterials[[#This Row],[Lab Quantity 1]:[Lab Quantity 4]])</f>
        <v>0</v>
      </c>
      <c r="X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3" s="367" t="e">
        <f>RawMaterials[[#This Row],[Lab Price 1]]/RawMaterials[[#This Row],[Lab Q Model Units 1]]</f>
        <v>#N/A</v>
      </c>
      <c r="AC63" s="367" t="e">
        <f>RawMaterials[[#This Row],[Lab Price 2]]/RawMaterials[[#This Row],[Lab Q Model Units 2]]</f>
        <v>#N/A</v>
      </c>
      <c r="AD63" s="367" t="e">
        <f>RawMaterials[[#This Row],[Lab Price 3]]/RawMaterials[[#This Row],[Lab Q Model Units 3]]</f>
        <v>#N/A</v>
      </c>
      <c r="AE63" s="367" t="e">
        <f>RawMaterials[[#This Row],[Lab Price 4]]/RawMaterials[[#This Row],[Lab Q Model Units 4]]</f>
        <v>#N/A</v>
      </c>
      <c r="AF63" s="367" t="str">
        <f ca="1">IF(RawMaterials[[#This Row],[Lab Quote Count]]&gt;1,SLOPE(LOG(INDIRECT("RawMaterials[@[Lab Unit P 1]:[Lab Unit P "&amp;RawMaterials[[#This Row],[Lab Quote Count]]&amp;"]]")),LOG(INDIRECT("RawMaterials[@[Lab Q Model Units 1]:[Lab Q Model Units "&amp;RawMaterials[[#This Row],[Lab Quote Count]]&amp;"]]"))),"")</f>
        <v/>
      </c>
      <c r="AG63" s="367" t="str">
        <f ca="1">IF(RawMaterials[[#This Row],[Lab Quote Count]]&gt;1,INTERCEPT(LOG(INDIRECT("RawMaterials[@[Lab Unit P 1]:[Lab Unit P "&amp;RawMaterials[[#This Row],[Lab Quote Count]]&amp;"]]")),LOG(INDIRECT("RawMaterials[@[Lab Q Model Units 1]:[Lab Q Model Units "&amp;RawMaterials[[#This Row],[Lab Quote Count]]&amp;"]]"))),"")</f>
        <v/>
      </c>
      <c r="AH63" s="368" t="str">
        <f>IF(RawMaterials[[#This Row],[Material Type]]="Metal Precursor","D13",IF(RawMaterials[[#This Row],[Material Type]]="Ligand","D13","D12"))</f>
        <v>D12</v>
      </c>
      <c r="AI63" s="369" t="str">
        <f ca="1">IF(RawMaterials[[#This Row],[Lab Quote Count]]&gt;1,10^RawMaterials[[#This Row],[Lab Log-Log Intercept]]*INDIRECT(RawMaterials[[#This Row],[Basis Cell]])^RawMaterials[[#This Row],[Lab Log-Log Slope]],"&gt;&gt;&gt; Enter 2 or more lab quotes &lt;&lt;&lt;")</f>
        <v>&gt;&gt;&gt; Enter 2 or more lab quotes &lt;&lt;&lt;</v>
      </c>
      <c r="AJ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0.27328940292499998</v>
      </c>
      <c r="AL63" s="372">
        <f>IF(ISTEXT(RawMaterials[[#This Row],[Unit price in quote year]]),"Check calcs",RawMaterials[[#This Row],[Unit price in quote year]]/VLOOKUP(RawMaterials[[#This Row],[Quote Year]],ChemPPI[],14,FALSE)*VLOOKUP(BasisYear,ChemPPI[],14,FALSE))</f>
        <v>0.31986386498273145</v>
      </c>
      <c r="AM63" s="373" t="str">
        <f t="shared" si="0"/>
        <v>$/lb (2016)</v>
      </c>
    </row>
    <row r="64" spans="1:39">
      <c r="A64" s="263" t="s">
        <v>1171</v>
      </c>
      <c r="B64" s="264"/>
      <c r="C64" s="271"/>
      <c r="D64" s="365"/>
      <c r="E64" s="264">
        <v>100</v>
      </c>
      <c r="F64" s="264"/>
      <c r="G64" s="271"/>
      <c r="H64" s="271"/>
      <c r="I64" s="268"/>
      <c r="J64" s="271"/>
      <c r="K64" s="271"/>
      <c r="L64" s="271"/>
      <c r="M64" s="271"/>
      <c r="N64" s="271"/>
      <c r="O64" s="271"/>
      <c r="P64" s="265">
        <v>578.71500000000003</v>
      </c>
      <c r="Q64" s="264">
        <v>1</v>
      </c>
      <c r="R64" s="264" t="s">
        <v>406</v>
      </c>
      <c r="S64" s="264">
        <v>2008</v>
      </c>
      <c r="T64" s="266" t="s">
        <v>163</v>
      </c>
      <c r="U64" s="267">
        <v>42653</v>
      </c>
      <c r="V64" s="269"/>
      <c r="W64" s="366">
        <f>COUNT(RawMaterials[[#This Row],[Lab Quantity 1]:[Lab Quantity 4]])</f>
        <v>0</v>
      </c>
      <c r="X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4" s="367" t="e">
        <f>RawMaterials[[#This Row],[Lab Price 1]]/RawMaterials[[#This Row],[Lab Q Model Units 1]]</f>
        <v>#N/A</v>
      </c>
      <c r="AC64" s="367" t="e">
        <f>RawMaterials[[#This Row],[Lab Price 2]]/RawMaterials[[#This Row],[Lab Q Model Units 2]]</f>
        <v>#N/A</v>
      </c>
      <c r="AD64" s="367" t="e">
        <f>RawMaterials[[#This Row],[Lab Price 3]]/RawMaterials[[#This Row],[Lab Q Model Units 3]]</f>
        <v>#N/A</v>
      </c>
      <c r="AE64" s="367" t="e">
        <f>RawMaterials[[#This Row],[Lab Price 4]]/RawMaterials[[#This Row],[Lab Q Model Units 4]]</f>
        <v>#N/A</v>
      </c>
      <c r="AF64" s="367" t="str">
        <f ca="1">IF(RawMaterials[[#This Row],[Lab Quote Count]]&gt;1,SLOPE(LOG(INDIRECT("RawMaterials[@[Lab Unit P 1]:[Lab Unit P "&amp;RawMaterials[[#This Row],[Lab Quote Count]]&amp;"]]")),LOG(INDIRECT("RawMaterials[@[Lab Q Model Units 1]:[Lab Q Model Units "&amp;RawMaterials[[#This Row],[Lab Quote Count]]&amp;"]]"))),"")</f>
        <v/>
      </c>
      <c r="AG64" s="367" t="str">
        <f ca="1">IF(RawMaterials[[#This Row],[Lab Quote Count]]&gt;1,INTERCEPT(LOG(INDIRECT("RawMaterials[@[Lab Unit P 1]:[Lab Unit P "&amp;RawMaterials[[#This Row],[Lab Quote Count]]&amp;"]]")),LOG(INDIRECT("RawMaterials[@[Lab Q Model Units 1]:[Lab Q Model Units "&amp;RawMaterials[[#This Row],[Lab Quote Count]]&amp;"]]"))),"")</f>
        <v/>
      </c>
      <c r="AH64" s="368" t="str">
        <f>IF(RawMaterials[[#This Row],[Material Type]]="Metal Precursor","D13",IF(RawMaterials[[#This Row],[Material Type]]="Ligand","D13","D12"))</f>
        <v>D12</v>
      </c>
      <c r="AI64" s="369" t="str">
        <f ca="1">IF(RawMaterials[[#This Row],[Lab Quote Count]]&gt;1,10^RawMaterials[[#This Row],[Lab Log-Log Intercept]]*INDIRECT(RawMaterials[[#This Row],[Basis Cell]])^RawMaterials[[#This Row],[Lab Log-Log Slope]],"&gt;&gt;&gt; Enter 2 or more lab quotes &lt;&lt;&lt;")</f>
        <v>&gt;&gt;&gt; Enter 2 or more lab quotes &lt;&lt;&lt;</v>
      </c>
      <c r="AJ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0.28935749999999999</v>
      </c>
      <c r="AL64" s="372">
        <f>IF(ISTEXT(RawMaterials[[#This Row],[Unit price in quote year]]),"Check calcs",RawMaterials[[#This Row],[Unit price in quote year]]/VLOOKUP(RawMaterials[[#This Row],[Quote Year]],ChemPPI[],14,FALSE)*VLOOKUP(BasisYear,ChemPPI[],14,FALSE))</f>
        <v>0.33867031550118676</v>
      </c>
      <c r="AM64" s="373" t="str">
        <f t="shared" si="0"/>
        <v>$/lb (2016)</v>
      </c>
    </row>
    <row r="65" spans="1:39">
      <c r="A65" s="263" t="s">
        <v>1172</v>
      </c>
      <c r="B65" s="264"/>
      <c r="C65" s="271"/>
      <c r="D65" s="365"/>
      <c r="E65" s="264">
        <v>100</v>
      </c>
      <c r="F65" s="264"/>
      <c r="G65" s="271"/>
      <c r="H65" s="271"/>
      <c r="I65" s="268"/>
      <c r="J65" s="271"/>
      <c r="K65" s="271"/>
      <c r="L65" s="271"/>
      <c r="M65" s="271"/>
      <c r="N65" s="271"/>
      <c r="O65" s="271"/>
      <c r="P65" s="265">
        <v>172</v>
      </c>
      <c r="Q65" s="264">
        <v>1</v>
      </c>
      <c r="R65" s="264" t="s">
        <v>406</v>
      </c>
      <c r="S65" s="264">
        <v>2006</v>
      </c>
      <c r="T65" s="266" t="s">
        <v>163</v>
      </c>
      <c r="U65" s="267">
        <v>42653</v>
      </c>
      <c r="V65" s="269"/>
      <c r="W65" s="366">
        <f>COUNT(RawMaterials[[#This Row],[Lab Quantity 1]:[Lab Quantity 4]])</f>
        <v>0</v>
      </c>
      <c r="X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5" s="367" t="e">
        <f>RawMaterials[[#This Row],[Lab Price 1]]/RawMaterials[[#This Row],[Lab Q Model Units 1]]</f>
        <v>#N/A</v>
      </c>
      <c r="AC65" s="367" t="e">
        <f>RawMaterials[[#This Row],[Lab Price 2]]/RawMaterials[[#This Row],[Lab Q Model Units 2]]</f>
        <v>#N/A</v>
      </c>
      <c r="AD65" s="367" t="e">
        <f>RawMaterials[[#This Row],[Lab Price 3]]/RawMaterials[[#This Row],[Lab Q Model Units 3]]</f>
        <v>#N/A</v>
      </c>
      <c r="AE65" s="367" t="e">
        <f>RawMaterials[[#This Row],[Lab Price 4]]/RawMaterials[[#This Row],[Lab Q Model Units 4]]</f>
        <v>#N/A</v>
      </c>
      <c r="AF65" s="367" t="str">
        <f ca="1">IF(RawMaterials[[#This Row],[Lab Quote Count]]&gt;1,SLOPE(LOG(INDIRECT("RawMaterials[@[Lab Unit P 1]:[Lab Unit P "&amp;RawMaterials[[#This Row],[Lab Quote Count]]&amp;"]]")),LOG(INDIRECT("RawMaterials[@[Lab Q Model Units 1]:[Lab Q Model Units "&amp;RawMaterials[[#This Row],[Lab Quote Count]]&amp;"]]"))),"")</f>
        <v/>
      </c>
      <c r="AG65" s="367" t="str">
        <f ca="1">IF(RawMaterials[[#This Row],[Lab Quote Count]]&gt;1,INTERCEPT(LOG(INDIRECT("RawMaterials[@[Lab Unit P 1]:[Lab Unit P "&amp;RawMaterials[[#This Row],[Lab Quote Count]]&amp;"]]")),LOG(INDIRECT("RawMaterials[@[Lab Q Model Units 1]:[Lab Q Model Units "&amp;RawMaterials[[#This Row],[Lab Quote Count]]&amp;"]]"))),"")</f>
        <v/>
      </c>
      <c r="AH65" s="368" t="str">
        <f>IF(RawMaterials[[#This Row],[Material Type]]="Metal Precursor","D13",IF(RawMaterials[[#This Row],[Material Type]]="Ligand","D13","D12"))</f>
        <v>D12</v>
      </c>
      <c r="AI65" s="369" t="str">
        <f ca="1">IF(RawMaterials[[#This Row],[Lab Quote Count]]&gt;1,10^RawMaterials[[#This Row],[Lab Log-Log Intercept]]*INDIRECT(RawMaterials[[#This Row],[Basis Cell]])^RawMaterials[[#This Row],[Lab Log-Log Slope]],"&gt;&gt;&gt; Enter 2 or more lab quotes &lt;&lt;&lt;")</f>
        <v>&gt;&gt;&gt; Enter 2 or more lab quotes &lt;&lt;&lt;</v>
      </c>
      <c r="AJ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8.5999999999999993E-2</v>
      </c>
      <c r="AL65" s="372">
        <f>IF(ISTEXT(RawMaterials[[#This Row],[Unit price in quote year]]),"Check calcs",RawMaterials[[#This Row],[Unit price in quote year]]/VLOOKUP(RawMaterials[[#This Row],[Quote Year]],ChemPPI[],14,FALSE)*VLOOKUP(BasisYear,ChemPPI[],14,FALSE))</f>
        <v>0.11672052845528456</v>
      </c>
      <c r="AM65" s="373" t="str">
        <f t="shared" si="0"/>
        <v>$/lb (2016)</v>
      </c>
    </row>
    <row r="66" spans="1:39">
      <c r="A66" s="263" t="s">
        <v>1173</v>
      </c>
      <c r="B66" s="264"/>
      <c r="C66" s="271"/>
      <c r="D66" s="365"/>
      <c r="E66" s="264">
        <v>100</v>
      </c>
      <c r="F66" s="264"/>
      <c r="G66" s="271"/>
      <c r="H66" s="271"/>
      <c r="I66" s="268"/>
      <c r="J66" s="271"/>
      <c r="K66" s="271"/>
      <c r="L66" s="271"/>
      <c r="M66" s="271"/>
      <c r="N66" s="271"/>
      <c r="O66" s="271"/>
      <c r="P66" s="265">
        <v>227.5</v>
      </c>
      <c r="Q66" s="264">
        <v>1</v>
      </c>
      <c r="R66" s="264" t="s">
        <v>1123</v>
      </c>
      <c r="S66" s="264">
        <v>2006</v>
      </c>
      <c r="T66" s="266" t="s">
        <v>163</v>
      </c>
      <c r="U66" s="267">
        <v>42653</v>
      </c>
      <c r="V66" s="269"/>
      <c r="W66" s="366">
        <f>COUNT(RawMaterials[[#This Row],[Lab Quantity 1]:[Lab Quantity 4]])</f>
        <v>0</v>
      </c>
      <c r="X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6" s="367" t="e">
        <f>RawMaterials[[#This Row],[Lab Price 1]]/RawMaterials[[#This Row],[Lab Q Model Units 1]]</f>
        <v>#N/A</v>
      </c>
      <c r="AC66" s="367" t="e">
        <f>RawMaterials[[#This Row],[Lab Price 2]]/RawMaterials[[#This Row],[Lab Q Model Units 2]]</f>
        <v>#N/A</v>
      </c>
      <c r="AD66" s="367" t="e">
        <f>RawMaterials[[#This Row],[Lab Price 3]]/RawMaterials[[#This Row],[Lab Q Model Units 3]]</f>
        <v>#N/A</v>
      </c>
      <c r="AE66" s="367" t="e">
        <f>RawMaterials[[#This Row],[Lab Price 4]]/RawMaterials[[#This Row],[Lab Q Model Units 4]]</f>
        <v>#N/A</v>
      </c>
      <c r="AF66" s="367" t="str">
        <f ca="1">IF(RawMaterials[[#This Row],[Lab Quote Count]]&gt;1,SLOPE(LOG(INDIRECT("RawMaterials[@[Lab Unit P 1]:[Lab Unit P "&amp;RawMaterials[[#This Row],[Lab Quote Count]]&amp;"]]")),LOG(INDIRECT("RawMaterials[@[Lab Q Model Units 1]:[Lab Q Model Units "&amp;RawMaterials[[#This Row],[Lab Quote Count]]&amp;"]]"))),"")</f>
        <v/>
      </c>
      <c r="AG66" s="367" t="str">
        <f ca="1">IF(RawMaterials[[#This Row],[Lab Quote Count]]&gt;1,INTERCEPT(LOG(INDIRECT("RawMaterials[@[Lab Unit P 1]:[Lab Unit P "&amp;RawMaterials[[#This Row],[Lab Quote Count]]&amp;"]]")),LOG(INDIRECT("RawMaterials[@[Lab Q Model Units 1]:[Lab Q Model Units "&amp;RawMaterials[[#This Row],[Lab Quote Count]]&amp;"]]"))),"")</f>
        <v/>
      </c>
      <c r="AH66" s="368" t="str">
        <f>IF(RawMaterials[[#This Row],[Material Type]]="Metal Precursor","D13",IF(RawMaterials[[#This Row],[Material Type]]="Ligand","D13","D12"))</f>
        <v>D12</v>
      </c>
      <c r="AI66" s="369" t="str">
        <f ca="1">IF(RawMaterials[[#This Row],[Lab Quote Count]]&gt;1,10^RawMaterials[[#This Row],[Lab Log-Log Intercept]]*INDIRECT(RawMaterials[[#This Row],[Basis Cell]])^RawMaterials[[#This Row],[Lab Log-Log Slope]],"&gt;&gt;&gt; Enter 2 or more lab quotes &lt;&lt;&lt;")</f>
        <v>&gt;&gt;&gt; Enter 2 or more lab quotes &lt;&lt;&lt;</v>
      </c>
      <c r="AJ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0.10319226417499999</v>
      </c>
      <c r="AL66" s="372">
        <f>IF(ISTEXT(RawMaterials[[#This Row],[Unit price in quote year]]),"Check calcs",RawMaterials[[#This Row],[Unit price in quote year]]/VLOOKUP(RawMaterials[[#This Row],[Quote Year]],ChemPPI[],14,FALSE)*VLOOKUP(BasisYear,ChemPPI[],14,FALSE))</f>
        <v>0.14005413496515501</v>
      </c>
      <c r="AM66" s="373" t="str">
        <f t="shared" si="0"/>
        <v>$/lb (2016)</v>
      </c>
    </row>
    <row r="67" spans="1:39">
      <c r="A67" s="263" t="s">
        <v>1174</v>
      </c>
      <c r="B67" s="264"/>
      <c r="C67" s="271"/>
      <c r="D67" s="365"/>
      <c r="E67" s="264">
        <v>100</v>
      </c>
      <c r="F67" s="264"/>
      <c r="G67" s="271"/>
      <c r="H67" s="271"/>
      <c r="I67" s="268"/>
      <c r="J67" s="271"/>
      <c r="K67" s="271"/>
      <c r="L67" s="271"/>
      <c r="M67" s="271"/>
      <c r="N67" s="271"/>
      <c r="O67" s="271"/>
      <c r="P67" s="265">
        <v>235</v>
      </c>
      <c r="Q67" s="264">
        <v>1</v>
      </c>
      <c r="R67" s="264" t="s">
        <v>406</v>
      </c>
      <c r="S67" s="264">
        <v>2006</v>
      </c>
      <c r="T67" s="266" t="s">
        <v>163</v>
      </c>
      <c r="U67" s="267">
        <v>42653</v>
      </c>
      <c r="V67" s="269"/>
      <c r="W67" s="366">
        <f>COUNT(RawMaterials[[#This Row],[Lab Quantity 1]:[Lab Quantity 4]])</f>
        <v>0</v>
      </c>
      <c r="X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7" s="367" t="e">
        <f>RawMaterials[[#This Row],[Lab Price 1]]/RawMaterials[[#This Row],[Lab Q Model Units 1]]</f>
        <v>#N/A</v>
      </c>
      <c r="AC67" s="367" t="e">
        <f>RawMaterials[[#This Row],[Lab Price 2]]/RawMaterials[[#This Row],[Lab Q Model Units 2]]</f>
        <v>#N/A</v>
      </c>
      <c r="AD67" s="367" t="e">
        <f>RawMaterials[[#This Row],[Lab Price 3]]/RawMaterials[[#This Row],[Lab Q Model Units 3]]</f>
        <v>#N/A</v>
      </c>
      <c r="AE67" s="367" t="e">
        <f>RawMaterials[[#This Row],[Lab Price 4]]/RawMaterials[[#This Row],[Lab Q Model Units 4]]</f>
        <v>#N/A</v>
      </c>
      <c r="AF67" s="367" t="str">
        <f ca="1">IF(RawMaterials[[#This Row],[Lab Quote Count]]&gt;1,SLOPE(LOG(INDIRECT("RawMaterials[@[Lab Unit P 1]:[Lab Unit P "&amp;RawMaterials[[#This Row],[Lab Quote Count]]&amp;"]]")),LOG(INDIRECT("RawMaterials[@[Lab Q Model Units 1]:[Lab Q Model Units "&amp;RawMaterials[[#This Row],[Lab Quote Count]]&amp;"]]"))),"")</f>
        <v/>
      </c>
      <c r="AG67" s="367" t="str">
        <f ca="1">IF(RawMaterials[[#This Row],[Lab Quote Count]]&gt;1,INTERCEPT(LOG(INDIRECT("RawMaterials[@[Lab Unit P 1]:[Lab Unit P "&amp;RawMaterials[[#This Row],[Lab Quote Count]]&amp;"]]")),LOG(INDIRECT("RawMaterials[@[Lab Q Model Units 1]:[Lab Q Model Units "&amp;RawMaterials[[#This Row],[Lab Quote Count]]&amp;"]]"))),"")</f>
        <v/>
      </c>
      <c r="AH67" s="368" t="str">
        <f>IF(RawMaterials[[#This Row],[Material Type]]="Metal Precursor","D13",IF(RawMaterials[[#This Row],[Material Type]]="Ligand","D13","D12"))</f>
        <v>D12</v>
      </c>
      <c r="AI67" s="369" t="str">
        <f ca="1">IF(RawMaterials[[#This Row],[Lab Quote Count]]&gt;1,10^RawMaterials[[#This Row],[Lab Log-Log Intercept]]*INDIRECT(RawMaterials[[#This Row],[Basis Cell]])^RawMaterials[[#This Row],[Lab Log-Log Slope]],"&gt;&gt;&gt; Enter 2 or more lab quotes &lt;&lt;&lt;")</f>
        <v>&gt;&gt;&gt; Enter 2 or more lab quotes &lt;&lt;&lt;</v>
      </c>
      <c r="AJ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0.11749999999999999</v>
      </c>
      <c r="AL67" s="372">
        <f>IF(ISTEXT(RawMaterials[[#This Row],[Unit price in quote year]]),"Check calcs",RawMaterials[[#This Row],[Unit price in quote year]]/VLOOKUP(RawMaterials[[#This Row],[Quote Year]],ChemPPI[],14,FALSE)*VLOOKUP(BasisYear,ChemPPI[],14,FALSE))</f>
        <v>0.15947281504065045</v>
      </c>
      <c r="AM67" s="373" t="str">
        <f t="shared" si="0"/>
        <v>$/lb (2016)</v>
      </c>
    </row>
    <row r="68" spans="1:39">
      <c r="A68" s="263" t="s">
        <v>1175</v>
      </c>
      <c r="B68" s="264"/>
      <c r="C68" s="271"/>
      <c r="D68" s="365"/>
      <c r="E68" s="264">
        <v>100</v>
      </c>
      <c r="F68" s="264"/>
      <c r="G68" s="271"/>
      <c r="H68" s="271"/>
      <c r="I68" s="268"/>
      <c r="J68" s="271"/>
      <c r="K68" s="271"/>
      <c r="L68" s="271"/>
      <c r="M68" s="271"/>
      <c r="N68" s="271"/>
      <c r="O68" s="271"/>
      <c r="P68" s="265">
        <v>139.5</v>
      </c>
      <c r="Q68" s="264">
        <v>1</v>
      </c>
      <c r="R68" s="264" t="s">
        <v>406</v>
      </c>
      <c r="S68" s="264">
        <v>2006</v>
      </c>
      <c r="T68" s="266" t="s">
        <v>163</v>
      </c>
      <c r="U68" s="267">
        <v>42653</v>
      </c>
      <c r="V68" s="269"/>
      <c r="W68" s="366">
        <f>COUNT(RawMaterials[[#This Row],[Lab Quantity 1]:[Lab Quantity 4]])</f>
        <v>0</v>
      </c>
      <c r="X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8" s="367" t="e">
        <f>RawMaterials[[#This Row],[Lab Price 1]]/RawMaterials[[#This Row],[Lab Q Model Units 1]]</f>
        <v>#N/A</v>
      </c>
      <c r="AC68" s="367" t="e">
        <f>RawMaterials[[#This Row],[Lab Price 2]]/RawMaterials[[#This Row],[Lab Q Model Units 2]]</f>
        <v>#N/A</v>
      </c>
      <c r="AD68" s="367" t="e">
        <f>RawMaterials[[#This Row],[Lab Price 3]]/RawMaterials[[#This Row],[Lab Q Model Units 3]]</f>
        <v>#N/A</v>
      </c>
      <c r="AE68" s="367" t="e">
        <f>RawMaterials[[#This Row],[Lab Price 4]]/RawMaterials[[#This Row],[Lab Q Model Units 4]]</f>
        <v>#N/A</v>
      </c>
      <c r="AF68" s="367" t="str">
        <f ca="1">IF(RawMaterials[[#This Row],[Lab Quote Count]]&gt;1,SLOPE(LOG(INDIRECT("RawMaterials[@[Lab Unit P 1]:[Lab Unit P "&amp;RawMaterials[[#This Row],[Lab Quote Count]]&amp;"]]")),LOG(INDIRECT("RawMaterials[@[Lab Q Model Units 1]:[Lab Q Model Units "&amp;RawMaterials[[#This Row],[Lab Quote Count]]&amp;"]]"))),"")</f>
        <v/>
      </c>
      <c r="AG68" s="367" t="str">
        <f ca="1">IF(RawMaterials[[#This Row],[Lab Quote Count]]&gt;1,INTERCEPT(LOG(INDIRECT("RawMaterials[@[Lab Unit P 1]:[Lab Unit P "&amp;RawMaterials[[#This Row],[Lab Quote Count]]&amp;"]]")),LOG(INDIRECT("RawMaterials[@[Lab Q Model Units 1]:[Lab Q Model Units "&amp;RawMaterials[[#This Row],[Lab Quote Count]]&amp;"]]"))),"")</f>
        <v/>
      </c>
      <c r="AH68" s="368" t="str">
        <f>IF(RawMaterials[[#This Row],[Material Type]]="Metal Precursor","D13",IF(RawMaterials[[#This Row],[Material Type]]="Ligand","D13","D12"))</f>
        <v>D12</v>
      </c>
      <c r="AI68" s="369" t="str">
        <f ca="1">IF(RawMaterials[[#This Row],[Lab Quote Count]]&gt;1,10^RawMaterials[[#This Row],[Lab Log-Log Intercept]]*INDIRECT(RawMaterials[[#This Row],[Basis Cell]])^RawMaterials[[#This Row],[Lab Log-Log Slope]],"&gt;&gt;&gt; Enter 2 or more lab quotes &lt;&lt;&lt;")</f>
        <v>&gt;&gt;&gt; Enter 2 or more lab quotes &lt;&lt;&lt;</v>
      </c>
      <c r="AJ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6.9750000000000006E-2</v>
      </c>
      <c r="AL68" s="372">
        <f>IF(ISTEXT(RawMaterials[[#This Row],[Unit price in quote year]]),"Check calcs",RawMaterials[[#This Row],[Unit price in quote year]]/VLOOKUP(RawMaterials[[#This Row],[Quote Year]],ChemPPI[],14,FALSE)*VLOOKUP(BasisYear,ChemPPI[],14,FALSE))</f>
        <v>9.4665777439024407E-2</v>
      </c>
      <c r="AM68" s="373" t="str">
        <f t="shared" si="0"/>
        <v>$/lb (2016)</v>
      </c>
    </row>
    <row r="69" spans="1:39">
      <c r="A69" s="263" t="s">
        <v>1176</v>
      </c>
      <c r="B69" s="264"/>
      <c r="C69" s="271"/>
      <c r="D69" s="365"/>
      <c r="E69" s="264">
        <v>100</v>
      </c>
      <c r="F69" s="264"/>
      <c r="G69" s="271"/>
      <c r="H69" s="271"/>
      <c r="I69" s="268"/>
      <c r="J69" s="271"/>
      <c r="K69" s="271"/>
      <c r="L69" s="271"/>
      <c r="M69" s="271"/>
      <c r="N69" s="271"/>
      <c r="O69" s="271"/>
      <c r="P69" s="265">
        <v>146</v>
      </c>
      <c r="Q69" s="264">
        <v>1</v>
      </c>
      <c r="R69" s="264" t="s">
        <v>406</v>
      </c>
      <c r="S69" s="264">
        <v>2006</v>
      </c>
      <c r="T69" s="266" t="s">
        <v>163</v>
      </c>
      <c r="U69" s="267">
        <v>42653</v>
      </c>
      <c r="V69" s="269"/>
      <c r="W69" s="366">
        <f>COUNT(RawMaterials[[#This Row],[Lab Quantity 1]:[Lab Quantity 4]])</f>
        <v>0</v>
      </c>
      <c r="X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9" s="367" t="e">
        <f>RawMaterials[[#This Row],[Lab Price 1]]/RawMaterials[[#This Row],[Lab Q Model Units 1]]</f>
        <v>#N/A</v>
      </c>
      <c r="AC69" s="367" t="e">
        <f>RawMaterials[[#This Row],[Lab Price 2]]/RawMaterials[[#This Row],[Lab Q Model Units 2]]</f>
        <v>#N/A</v>
      </c>
      <c r="AD69" s="367" t="e">
        <f>RawMaterials[[#This Row],[Lab Price 3]]/RawMaterials[[#This Row],[Lab Q Model Units 3]]</f>
        <v>#N/A</v>
      </c>
      <c r="AE69" s="367" t="e">
        <f>RawMaterials[[#This Row],[Lab Price 4]]/RawMaterials[[#This Row],[Lab Q Model Units 4]]</f>
        <v>#N/A</v>
      </c>
      <c r="AF69" s="367" t="str">
        <f ca="1">IF(RawMaterials[[#This Row],[Lab Quote Count]]&gt;1,SLOPE(LOG(INDIRECT("RawMaterials[@[Lab Unit P 1]:[Lab Unit P "&amp;RawMaterials[[#This Row],[Lab Quote Count]]&amp;"]]")),LOG(INDIRECT("RawMaterials[@[Lab Q Model Units 1]:[Lab Q Model Units "&amp;RawMaterials[[#This Row],[Lab Quote Count]]&amp;"]]"))),"")</f>
        <v/>
      </c>
      <c r="AG69" s="367" t="str">
        <f ca="1">IF(RawMaterials[[#This Row],[Lab Quote Count]]&gt;1,INTERCEPT(LOG(INDIRECT("RawMaterials[@[Lab Unit P 1]:[Lab Unit P "&amp;RawMaterials[[#This Row],[Lab Quote Count]]&amp;"]]")),LOG(INDIRECT("RawMaterials[@[Lab Q Model Units 1]:[Lab Q Model Units "&amp;RawMaterials[[#This Row],[Lab Quote Count]]&amp;"]]"))),"")</f>
        <v/>
      </c>
      <c r="AH69" s="368" t="str">
        <f>IF(RawMaterials[[#This Row],[Material Type]]="Metal Precursor","D13",IF(RawMaterials[[#This Row],[Material Type]]="Ligand","D13","D12"))</f>
        <v>D12</v>
      </c>
      <c r="AI69" s="369" t="str">
        <f ca="1">IF(RawMaterials[[#This Row],[Lab Quote Count]]&gt;1,10^RawMaterials[[#This Row],[Lab Log-Log Intercept]]*INDIRECT(RawMaterials[[#This Row],[Basis Cell]])^RawMaterials[[#This Row],[Lab Log-Log Slope]],"&gt;&gt;&gt; Enter 2 or more lab quotes &lt;&lt;&lt;")</f>
        <v>&gt;&gt;&gt; Enter 2 or more lab quotes &lt;&lt;&lt;</v>
      </c>
      <c r="AJ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7.2999999999999995E-2</v>
      </c>
      <c r="AL69" s="372">
        <f>IF(ISTEXT(RawMaterials[[#This Row],[Unit price in quote year]]),"Check calcs",RawMaterials[[#This Row],[Unit price in quote year]]/VLOOKUP(RawMaterials[[#This Row],[Quote Year]],ChemPPI[],14,FALSE)*VLOOKUP(BasisYear,ChemPPI[],14,FALSE))</f>
        <v>9.907672764227643E-2</v>
      </c>
      <c r="AM69" s="373" t="str">
        <f t="shared" si="0"/>
        <v>$/lb (2016)</v>
      </c>
    </row>
    <row r="70" spans="1:39">
      <c r="A70" s="263" t="s">
        <v>1177</v>
      </c>
      <c r="B70" s="264"/>
      <c r="C70" s="271"/>
      <c r="D70" s="365"/>
      <c r="E70" s="264">
        <v>100</v>
      </c>
      <c r="F70" s="264"/>
      <c r="G70" s="271"/>
      <c r="H70" s="271"/>
      <c r="I70" s="268"/>
      <c r="J70" s="271"/>
      <c r="K70" s="271"/>
      <c r="L70" s="271"/>
      <c r="M70" s="271"/>
      <c r="N70" s="271"/>
      <c r="O70" s="271"/>
      <c r="P70" s="265">
        <v>0.38</v>
      </c>
      <c r="Q70" s="264">
        <v>1</v>
      </c>
      <c r="R70" s="264" t="s">
        <v>20</v>
      </c>
      <c r="S70" s="264">
        <v>2006</v>
      </c>
      <c r="T70" s="266" t="s">
        <v>163</v>
      </c>
      <c r="U70" s="267">
        <v>42653</v>
      </c>
      <c r="V70" s="269"/>
      <c r="W70" s="366">
        <f>COUNT(RawMaterials[[#This Row],[Lab Quantity 1]:[Lab Quantity 4]])</f>
        <v>0</v>
      </c>
      <c r="X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0" s="367" t="e">
        <f>RawMaterials[[#This Row],[Lab Price 1]]/RawMaterials[[#This Row],[Lab Q Model Units 1]]</f>
        <v>#N/A</v>
      </c>
      <c r="AC70" s="367" t="e">
        <f>RawMaterials[[#This Row],[Lab Price 2]]/RawMaterials[[#This Row],[Lab Q Model Units 2]]</f>
        <v>#N/A</v>
      </c>
      <c r="AD70" s="367" t="e">
        <f>RawMaterials[[#This Row],[Lab Price 3]]/RawMaterials[[#This Row],[Lab Q Model Units 3]]</f>
        <v>#N/A</v>
      </c>
      <c r="AE70" s="367" t="e">
        <f>RawMaterials[[#This Row],[Lab Price 4]]/RawMaterials[[#This Row],[Lab Q Model Units 4]]</f>
        <v>#N/A</v>
      </c>
      <c r="AF70" s="367" t="str">
        <f ca="1">IF(RawMaterials[[#This Row],[Lab Quote Count]]&gt;1,SLOPE(LOG(INDIRECT("RawMaterials[@[Lab Unit P 1]:[Lab Unit P "&amp;RawMaterials[[#This Row],[Lab Quote Count]]&amp;"]]")),LOG(INDIRECT("RawMaterials[@[Lab Q Model Units 1]:[Lab Q Model Units "&amp;RawMaterials[[#This Row],[Lab Quote Count]]&amp;"]]"))),"")</f>
        <v/>
      </c>
      <c r="AG70" s="367" t="str">
        <f ca="1">IF(RawMaterials[[#This Row],[Lab Quote Count]]&gt;1,INTERCEPT(LOG(INDIRECT("RawMaterials[@[Lab Unit P 1]:[Lab Unit P "&amp;RawMaterials[[#This Row],[Lab Quote Count]]&amp;"]]")),LOG(INDIRECT("RawMaterials[@[Lab Q Model Units 1]:[Lab Q Model Units "&amp;RawMaterials[[#This Row],[Lab Quote Count]]&amp;"]]"))),"")</f>
        <v/>
      </c>
      <c r="AH70" s="368" t="str">
        <f>IF(RawMaterials[[#This Row],[Material Type]]="Metal Precursor","D13",IF(RawMaterials[[#This Row],[Material Type]]="Ligand","D13","D12"))</f>
        <v>D12</v>
      </c>
      <c r="AI70" s="369" t="str">
        <f ca="1">IF(RawMaterials[[#This Row],[Lab Quote Count]]&gt;1,10^RawMaterials[[#This Row],[Lab Log-Log Intercept]]*INDIRECT(RawMaterials[[#This Row],[Basis Cell]])^RawMaterials[[#This Row],[Lab Log-Log Slope]],"&gt;&gt;&gt; Enter 2 or more lab quotes &lt;&lt;&lt;")</f>
        <v>&gt;&gt;&gt; Enter 2 or more lab quotes &lt;&lt;&lt;</v>
      </c>
      <c r="AJ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70" s="372">
        <f>IF(ISTEXT(RawMaterials[[#This Row],[Unit price in quote year]]),"Check calcs",RawMaterials[[#This Row],[Unit price in quote year]]/VLOOKUP(RawMaterials[[#This Row],[Quote Year]],ChemPPI[],14,FALSE)*VLOOKUP(BasisYear,ChemPPI[],14,FALSE))</f>
        <v>0.5157418699186993</v>
      </c>
      <c r="AM70" s="373" t="str">
        <f t="shared" si="0"/>
        <v>$/lb (2016)</v>
      </c>
    </row>
    <row r="71" spans="1:39">
      <c r="A71" s="263" t="s">
        <v>1178</v>
      </c>
      <c r="B71" s="264"/>
      <c r="C71" s="271"/>
      <c r="D71" s="365"/>
      <c r="E71" s="264">
        <v>100</v>
      </c>
      <c r="F71" s="264"/>
      <c r="G71" s="271"/>
      <c r="H71" s="271"/>
      <c r="I71" s="268"/>
      <c r="J71" s="271"/>
      <c r="K71" s="271"/>
      <c r="L71" s="271"/>
      <c r="M71" s="271"/>
      <c r="N71" s="271"/>
      <c r="O71" s="271"/>
      <c r="P71" s="265">
        <v>1.95</v>
      </c>
      <c r="Q71" s="264">
        <v>1</v>
      </c>
      <c r="R71" s="264" t="s">
        <v>20</v>
      </c>
      <c r="S71" s="264">
        <v>2006</v>
      </c>
      <c r="T71" s="266" t="s">
        <v>163</v>
      </c>
      <c r="U71" s="267">
        <v>42653</v>
      </c>
      <c r="V71" s="269"/>
      <c r="W71" s="366">
        <f>COUNT(RawMaterials[[#This Row],[Lab Quantity 1]:[Lab Quantity 4]])</f>
        <v>0</v>
      </c>
      <c r="X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1" s="367" t="e">
        <f>RawMaterials[[#This Row],[Lab Price 1]]/RawMaterials[[#This Row],[Lab Q Model Units 1]]</f>
        <v>#N/A</v>
      </c>
      <c r="AC71" s="367" t="e">
        <f>RawMaterials[[#This Row],[Lab Price 2]]/RawMaterials[[#This Row],[Lab Q Model Units 2]]</f>
        <v>#N/A</v>
      </c>
      <c r="AD71" s="367" t="e">
        <f>RawMaterials[[#This Row],[Lab Price 3]]/RawMaterials[[#This Row],[Lab Q Model Units 3]]</f>
        <v>#N/A</v>
      </c>
      <c r="AE71" s="367" t="e">
        <f>RawMaterials[[#This Row],[Lab Price 4]]/RawMaterials[[#This Row],[Lab Q Model Units 4]]</f>
        <v>#N/A</v>
      </c>
      <c r="AF71" s="367" t="str">
        <f ca="1">IF(RawMaterials[[#This Row],[Lab Quote Count]]&gt;1,SLOPE(LOG(INDIRECT("RawMaterials[@[Lab Unit P 1]:[Lab Unit P "&amp;RawMaterials[[#This Row],[Lab Quote Count]]&amp;"]]")),LOG(INDIRECT("RawMaterials[@[Lab Q Model Units 1]:[Lab Q Model Units "&amp;RawMaterials[[#This Row],[Lab Quote Count]]&amp;"]]"))),"")</f>
        <v/>
      </c>
      <c r="AG71" s="367" t="str">
        <f ca="1">IF(RawMaterials[[#This Row],[Lab Quote Count]]&gt;1,INTERCEPT(LOG(INDIRECT("RawMaterials[@[Lab Unit P 1]:[Lab Unit P "&amp;RawMaterials[[#This Row],[Lab Quote Count]]&amp;"]]")),LOG(INDIRECT("RawMaterials[@[Lab Q Model Units 1]:[Lab Q Model Units "&amp;RawMaterials[[#This Row],[Lab Quote Count]]&amp;"]]"))),"")</f>
        <v/>
      </c>
      <c r="AH71" s="368" t="str">
        <f>IF(RawMaterials[[#This Row],[Material Type]]="Metal Precursor","D13",IF(RawMaterials[[#This Row],[Material Type]]="Ligand","D13","D12"))</f>
        <v>D12</v>
      </c>
      <c r="AI71" s="369" t="str">
        <f ca="1">IF(RawMaterials[[#This Row],[Lab Quote Count]]&gt;1,10^RawMaterials[[#This Row],[Lab Log-Log Intercept]]*INDIRECT(RawMaterials[[#This Row],[Basis Cell]])^RawMaterials[[#This Row],[Lab Log-Log Slope]],"&gt;&gt;&gt; Enter 2 or more lab quotes &lt;&lt;&lt;")</f>
        <v>&gt;&gt;&gt; Enter 2 or more lab quotes &lt;&lt;&lt;</v>
      </c>
      <c r="AJ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71" s="372">
        <f>IF(ISTEXT(RawMaterials[[#This Row],[Unit price in quote year]]),"Check calcs",RawMaterials[[#This Row],[Unit price in quote year]]/VLOOKUP(RawMaterials[[#This Row],[Quote Year]],ChemPPI[],14,FALSE)*VLOOKUP(BasisYear,ChemPPI[],14,FALSE))</f>
        <v>2.6465701219512199</v>
      </c>
      <c r="AM71" s="373" t="str">
        <f t="shared" si="0"/>
        <v>$/lb (2016)</v>
      </c>
    </row>
    <row r="72" spans="1:39">
      <c r="A72" s="263" t="s">
        <v>1179</v>
      </c>
      <c r="B72" s="264"/>
      <c r="C72" s="271"/>
      <c r="D72" s="365"/>
      <c r="E72" s="264">
        <v>100</v>
      </c>
      <c r="F72" s="264"/>
      <c r="G72" s="271"/>
      <c r="H72" s="271"/>
      <c r="I72" s="268"/>
      <c r="J72" s="271"/>
      <c r="K72" s="271"/>
      <c r="L72" s="271"/>
      <c r="M72" s="271"/>
      <c r="N72" s="271"/>
      <c r="O72" s="271"/>
      <c r="P72" s="265">
        <v>1.875</v>
      </c>
      <c r="Q72" s="264">
        <v>1</v>
      </c>
      <c r="R72" s="264" t="s">
        <v>20</v>
      </c>
      <c r="S72" s="264">
        <v>2006</v>
      </c>
      <c r="T72" s="266" t="s">
        <v>163</v>
      </c>
      <c r="U72" s="267">
        <v>42653</v>
      </c>
      <c r="V72" s="269"/>
      <c r="W72" s="366">
        <f>COUNT(RawMaterials[[#This Row],[Lab Quantity 1]:[Lab Quantity 4]])</f>
        <v>0</v>
      </c>
      <c r="X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2" s="367" t="e">
        <f>RawMaterials[[#This Row],[Lab Price 1]]/RawMaterials[[#This Row],[Lab Q Model Units 1]]</f>
        <v>#N/A</v>
      </c>
      <c r="AC72" s="367" t="e">
        <f>RawMaterials[[#This Row],[Lab Price 2]]/RawMaterials[[#This Row],[Lab Q Model Units 2]]</f>
        <v>#N/A</v>
      </c>
      <c r="AD72" s="367" t="e">
        <f>RawMaterials[[#This Row],[Lab Price 3]]/RawMaterials[[#This Row],[Lab Q Model Units 3]]</f>
        <v>#N/A</v>
      </c>
      <c r="AE72" s="367" t="e">
        <f>RawMaterials[[#This Row],[Lab Price 4]]/RawMaterials[[#This Row],[Lab Q Model Units 4]]</f>
        <v>#N/A</v>
      </c>
      <c r="AF72" s="367" t="str">
        <f ca="1">IF(RawMaterials[[#This Row],[Lab Quote Count]]&gt;1,SLOPE(LOG(INDIRECT("RawMaterials[@[Lab Unit P 1]:[Lab Unit P "&amp;RawMaterials[[#This Row],[Lab Quote Count]]&amp;"]]")),LOG(INDIRECT("RawMaterials[@[Lab Q Model Units 1]:[Lab Q Model Units "&amp;RawMaterials[[#This Row],[Lab Quote Count]]&amp;"]]"))),"")</f>
        <v/>
      </c>
      <c r="AG72" s="367" t="str">
        <f ca="1">IF(RawMaterials[[#This Row],[Lab Quote Count]]&gt;1,INTERCEPT(LOG(INDIRECT("RawMaterials[@[Lab Unit P 1]:[Lab Unit P "&amp;RawMaterials[[#This Row],[Lab Quote Count]]&amp;"]]")),LOG(INDIRECT("RawMaterials[@[Lab Q Model Units 1]:[Lab Q Model Units "&amp;RawMaterials[[#This Row],[Lab Quote Count]]&amp;"]]"))),"")</f>
        <v/>
      </c>
      <c r="AH72" s="368" t="str">
        <f>IF(RawMaterials[[#This Row],[Material Type]]="Metal Precursor","D13",IF(RawMaterials[[#This Row],[Material Type]]="Ligand","D13","D12"))</f>
        <v>D12</v>
      </c>
      <c r="AI72" s="369" t="str">
        <f ca="1">IF(RawMaterials[[#This Row],[Lab Quote Count]]&gt;1,10^RawMaterials[[#This Row],[Lab Log-Log Intercept]]*INDIRECT(RawMaterials[[#This Row],[Basis Cell]])^RawMaterials[[#This Row],[Lab Log-Log Slope]],"&gt;&gt;&gt; Enter 2 or more lab quotes &lt;&lt;&lt;")</f>
        <v>&gt;&gt;&gt; Enter 2 or more lab quotes &lt;&lt;&lt;</v>
      </c>
      <c r="AJ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2" s="372">
        <f>IF(ISTEXT(RawMaterials[[#This Row],[Unit price in quote year]]),"Check calcs",RawMaterials[[#This Row],[Unit price in quote year]]/VLOOKUP(RawMaterials[[#This Row],[Quote Year]],ChemPPI[],14,FALSE)*VLOOKUP(BasisYear,ChemPPI[],14,FALSE))</f>
        <v>2.5447789634146347</v>
      </c>
      <c r="AM72" s="373" t="str">
        <f t="shared" si="0"/>
        <v>$/lb (2016)</v>
      </c>
    </row>
    <row r="73" spans="1:39">
      <c r="A73" s="263" t="s">
        <v>1180</v>
      </c>
      <c r="B73" s="264"/>
      <c r="C73" s="271"/>
      <c r="D73" s="365"/>
      <c r="E73" s="264">
        <v>100</v>
      </c>
      <c r="F73" s="264"/>
      <c r="G73" s="271"/>
      <c r="H73" s="271"/>
      <c r="I73" s="268"/>
      <c r="J73" s="271"/>
      <c r="K73" s="271"/>
      <c r="L73" s="271"/>
      <c r="M73" s="271"/>
      <c r="N73" s="271"/>
      <c r="O73" s="271"/>
      <c r="P73" s="265">
        <v>1.875</v>
      </c>
      <c r="Q73" s="264">
        <v>1</v>
      </c>
      <c r="R73" s="264" t="s">
        <v>20</v>
      </c>
      <c r="S73" s="264">
        <v>2006</v>
      </c>
      <c r="T73" s="266" t="s">
        <v>163</v>
      </c>
      <c r="U73" s="267">
        <v>42653</v>
      </c>
      <c r="V73" s="269"/>
      <c r="W73" s="366">
        <f>COUNT(RawMaterials[[#This Row],[Lab Quantity 1]:[Lab Quantity 4]])</f>
        <v>0</v>
      </c>
      <c r="X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3" s="367" t="e">
        <f>RawMaterials[[#This Row],[Lab Price 1]]/RawMaterials[[#This Row],[Lab Q Model Units 1]]</f>
        <v>#N/A</v>
      </c>
      <c r="AC73" s="367" t="e">
        <f>RawMaterials[[#This Row],[Lab Price 2]]/RawMaterials[[#This Row],[Lab Q Model Units 2]]</f>
        <v>#N/A</v>
      </c>
      <c r="AD73" s="367" t="e">
        <f>RawMaterials[[#This Row],[Lab Price 3]]/RawMaterials[[#This Row],[Lab Q Model Units 3]]</f>
        <v>#N/A</v>
      </c>
      <c r="AE73" s="367" t="e">
        <f>RawMaterials[[#This Row],[Lab Price 4]]/RawMaterials[[#This Row],[Lab Q Model Units 4]]</f>
        <v>#N/A</v>
      </c>
      <c r="AF73" s="367" t="str">
        <f ca="1">IF(RawMaterials[[#This Row],[Lab Quote Count]]&gt;1,SLOPE(LOG(INDIRECT("RawMaterials[@[Lab Unit P 1]:[Lab Unit P "&amp;RawMaterials[[#This Row],[Lab Quote Count]]&amp;"]]")),LOG(INDIRECT("RawMaterials[@[Lab Q Model Units 1]:[Lab Q Model Units "&amp;RawMaterials[[#This Row],[Lab Quote Count]]&amp;"]]"))),"")</f>
        <v/>
      </c>
      <c r="AG73" s="367" t="str">
        <f ca="1">IF(RawMaterials[[#This Row],[Lab Quote Count]]&gt;1,INTERCEPT(LOG(INDIRECT("RawMaterials[@[Lab Unit P 1]:[Lab Unit P "&amp;RawMaterials[[#This Row],[Lab Quote Count]]&amp;"]]")),LOG(INDIRECT("RawMaterials[@[Lab Q Model Units 1]:[Lab Q Model Units "&amp;RawMaterials[[#This Row],[Lab Quote Count]]&amp;"]]"))),"")</f>
        <v/>
      </c>
      <c r="AH73" s="368" t="str">
        <f>IF(RawMaterials[[#This Row],[Material Type]]="Metal Precursor","D13",IF(RawMaterials[[#This Row],[Material Type]]="Ligand","D13","D12"))</f>
        <v>D12</v>
      </c>
      <c r="AI73" s="369" t="str">
        <f ca="1">IF(RawMaterials[[#This Row],[Lab Quote Count]]&gt;1,10^RawMaterials[[#This Row],[Lab Log-Log Intercept]]*INDIRECT(RawMaterials[[#This Row],[Basis Cell]])^RawMaterials[[#This Row],[Lab Log-Log Slope]],"&gt;&gt;&gt; Enter 2 or more lab quotes &lt;&lt;&lt;")</f>
        <v>&gt;&gt;&gt; Enter 2 or more lab quotes &lt;&lt;&lt;</v>
      </c>
      <c r="AJ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73" s="372">
        <f>IF(ISTEXT(RawMaterials[[#This Row],[Unit price in quote year]]),"Check calcs",RawMaterials[[#This Row],[Unit price in quote year]]/VLOOKUP(RawMaterials[[#This Row],[Quote Year]],ChemPPI[],14,FALSE)*VLOOKUP(BasisYear,ChemPPI[],14,FALSE))</f>
        <v>2.5447789634146347</v>
      </c>
      <c r="AM73" s="373" t="str">
        <f t="shared" si="0"/>
        <v>$/lb (2016)</v>
      </c>
    </row>
    <row r="74" spans="1:39">
      <c r="A74" s="263" t="s">
        <v>1181</v>
      </c>
      <c r="B74" s="264"/>
      <c r="C74" s="271"/>
      <c r="D74" s="365">
        <v>0.876</v>
      </c>
      <c r="E74" s="264">
        <v>100</v>
      </c>
      <c r="F74" s="264"/>
      <c r="G74" s="271"/>
      <c r="H74" s="271"/>
      <c r="I74" s="268"/>
      <c r="J74" s="271"/>
      <c r="K74" s="271"/>
      <c r="L74" s="271"/>
      <c r="M74" s="271"/>
      <c r="N74" s="271"/>
      <c r="O74" s="271"/>
      <c r="P74" s="265">
        <v>3.95</v>
      </c>
      <c r="Q74" s="264">
        <v>1</v>
      </c>
      <c r="R74" s="264" t="s">
        <v>85</v>
      </c>
      <c r="S74" s="264">
        <v>2008</v>
      </c>
      <c r="T74" s="266" t="s">
        <v>163</v>
      </c>
      <c r="U74" s="267">
        <v>42653</v>
      </c>
      <c r="V74" s="269"/>
      <c r="W74" s="366">
        <f>COUNT(RawMaterials[[#This Row],[Lab Quantity 1]:[Lab Quantity 4]])</f>
        <v>0</v>
      </c>
      <c r="X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4" s="367" t="e">
        <f>RawMaterials[[#This Row],[Lab Price 1]]/RawMaterials[[#This Row],[Lab Q Model Units 1]]</f>
        <v>#N/A</v>
      </c>
      <c r="AC74" s="367" t="e">
        <f>RawMaterials[[#This Row],[Lab Price 2]]/RawMaterials[[#This Row],[Lab Q Model Units 2]]</f>
        <v>#N/A</v>
      </c>
      <c r="AD74" s="367" t="e">
        <f>RawMaterials[[#This Row],[Lab Price 3]]/RawMaterials[[#This Row],[Lab Q Model Units 3]]</f>
        <v>#N/A</v>
      </c>
      <c r="AE74" s="367" t="e">
        <f>RawMaterials[[#This Row],[Lab Price 4]]/RawMaterials[[#This Row],[Lab Q Model Units 4]]</f>
        <v>#N/A</v>
      </c>
      <c r="AF74" s="367" t="str">
        <f ca="1">IF(RawMaterials[[#This Row],[Lab Quote Count]]&gt;1,SLOPE(LOG(INDIRECT("RawMaterials[@[Lab Unit P 1]:[Lab Unit P "&amp;RawMaterials[[#This Row],[Lab Quote Count]]&amp;"]]")),LOG(INDIRECT("RawMaterials[@[Lab Q Model Units 1]:[Lab Q Model Units "&amp;RawMaterials[[#This Row],[Lab Quote Count]]&amp;"]]"))),"")</f>
        <v/>
      </c>
      <c r="AG74" s="367" t="str">
        <f ca="1">IF(RawMaterials[[#This Row],[Lab Quote Count]]&gt;1,INTERCEPT(LOG(INDIRECT("RawMaterials[@[Lab Unit P 1]:[Lab Unit P "&amp;RawMaterials[[#This Row],[Lab Quote Count]]&amp;"]]")),LOG(INDIRECT("RawMaterials[@[Lab Q Model Units 1]:[Lab Q Model Units "&amp;RawMaterials[[#This Row],[Lab Quote Count]]&amp;"]]"))),"")</f>
        <v/>
      </c>
      <c r="AH74" s="368" t="str">
        <f>IF(RawMaterials[[#This Row],[Material Type]]="Metal Precursor","D13",IF(RawMaterials[[#This Row],[Material Type]]="Ligand","D13","D12"))</f>
        <v>D12</v>
      </c>
      <c r="AI74" s="369" t="str">
        <f ca="1">IF(RawMaterials[[#This Row],[Lab Quote Count]]&gt;1,10^RawMaterials[[#This Row],[Lab Log-Log Intercept]]*INDIRECT(RawMaterials[[#This Row],[Basis Cell]])^RawMaterials[[#This Row],[Lab Log-Log Slope]],"&gt;&gt;&gt; Enter 2 or more lab quotes &lt;&lt;&lt;")</f>
        <v>&gt;&gt;&gt; Enter 2 or more lab quotes &lt;&lt;&lt;</v>
      </c>
      <c r="AJ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0.54031322819833527</v>
      </c>
      <c r="AL74" s="372">
        <f>IF(ISTEXT(RawMaterials[[#This Row],[Unit price in quote year]]),"Check calcs",RawMaterials[[#This Row],[Unit price in quote year]]/VLOOKUP(RawMaterials[[#This Row],[Quote Year]],ChemPPI[],14,FALSE)*VLOOKUP(BasisYear,ChemPPI[],14,FALSE))</f>
        <v>0.63239436151955608</v>
      </c>
      <c r="AM74" s="373" t="str">
        <f t="shared" si="0"/>
        <v>$/lb (2016)</v>
      </c>
    </row>
    <row r="75" spans="1:39">
      <c r="A75" s="263" t="s">
        <v>1182</v>
      </c>
      <c r="B75" s="264"/>
      <c r="C75" s="271"/>
      <c r="D75" s="365">
        <v>0.876</v>
      </c>
      <c r="E75" s="264">
        <v>100</v>
      </c>
      <c r="F75" s="264"/>
      <c r="G75" s="271"/>
      <c r="H75" s="271"/>
      <c r="I75" s="268"/>
      <c r="J75" s="271"/>
      <c r="K75" s="271"/>
      <c r="L75" s="271"/>
      <c r="M75" s="271"/>
      <c r="N75" s="271"/>
      <c r="O75" s="271"/>
      <c r="P75" s="265">
        <v>3.9849999999999999</v>
      </c>
      <c r="Q75" s="264">
        <v>1</v>
      </c>
      <c r="R75" s="264" t="s">
        <v>85</v>
      </c>
      <c r="S75" s="264">
        <v>2008</v>
      </c>
      <c r="T75" s="266" t="s">
        <v>163</v>
      </c>
      <c r="U75" s="267">
        <v>42653</v>
      </c>
      <c r="V75" s="269"/>
      <c r="W75" s="366">
        <f>COUNT(RawMaterials[[#This Row],[Lab Quantity 1]:[Lab Quantity 4]])</f>
        <v>0</v>
      </c>
      <c r="X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5" s="367" t="e">
        <f>RawMaterials[[#This Row],[Lab Price 1]]/RawMaterials[[#This Row],[Lab Q Model Units 1]]</f>
        <v>#N/A</v>
      </c>
      <c r="AC75" s="367" t="e">
        <f>RawMaterials[[#This Row],[Lab Price 2]]/RawMaterials[[#This Row],[Lab Q Model Units 2]]</f>
        <v>#N/A</v>
      </c>
      <c r="AD75" s="367" t="e">
        <f>RawMaterials[[#This Row],[Lab Price 3]]/RawMaterials[[#This Row],[Lab Q Model Units 3]]</f>
        <v>#N/A</v>
      </c>
      <c r="AE75" s="367" t="e">
        <f>RawMaterials[[#This Row],[Lab Price 4]]/RawMaterials[[#This Row],[Lab Q Model Units 4]]</f>
        <v>#N/A</v>
      </c>
      <c r="AF75" s="367" t="str">
        <f ca="1">IF(RawMaterials[[#This Row],[Lab Quote Count]]&gt;1,SLOPE(LOG(INDIRECT("RawMaterials[@[Lab Unit P 1]:[Lab Unit P "&amp;RawMaterials[[#This Row],[Lab Quote Count]]&amp;"]]")),LOG(INDIRECT("RawMaterials[@[Lab Q Model Units 1]:[Lab Q Model Units "&amp;RawMaterials[[#This Row],[Lab Quote Count]]&amp;"]]"))),"")</f>
        <v/>
      </c>
      <c r="AG75" s="367" t="str">
        <f ca="1">IF(RawMaterials[[#This Row],[Lab Quote Count]]&gt;1,INTERCEPT(LOG(INDIRECT("RawMaterials[@[Lab Unit P 1]:[Lab Unit P "&amp;RawMaterials[[#This Row],[Lab Quote Count]]&amp;"]]")),LOG(INDIRECT("RawMaterials[@[Lab Q Model Units 1]:[Lab Q Model Units "&amp;RawMaterials[[#This Row],[Lab Quote Count]]&amp;"]]"))),"")</f>
        <v/>
      </c>
      <c r="AH75" s="368" t="str">
        <f>IF(RawMaterials[[#This Row],[Material Type]]="Metal Precursor","D13",IF(RawMaterials[[#This Row],[Material Type]]="Ligand","D13","D12"))</f>
        <v>D12</v>
      </c>
      <c r="AI75" s="369" t="str">
        <f ca="1">IF(RawMaterials[[#This Row],[Lab Quote Count]]&gt;1,10^RawMaterials[[#This Row],[Lab Log-Log Intercept]]*INDIRECT(RawMaterials[[#This Row],[Basis Cell]])^RawMaterials[[#This Row],[Lab Log-Log Slope]],"&gt;&gt;&gt; Enter 2 or more lab quotes &lt;&lt;&lt;")</f>
        <v>&gt;&gt;&gt; Enter 2 or more lab quotes &lt;&lt;&lt;</v>
      </c>
      <c r="AJ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7.310574299968934</v>
      </c>
      <c r="AK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0.54510081376464969</v>
      </c>
      <c r="AL75" s="372">
        <f>IF(ISTEXT(RawMaterials[[#This Row],[Unit price in quote year]]),"Check calcs",RawMaterials[[#This Row],[Unit price in quote year]]/VLOOKUP(RawMaterials[[#This Row],[Quote Year]],ChemPPI[],14,FALSE)*VLOOKUP(BasisYear,ChemPPI[],14,FALSE))</f>
        <v>0.63799785586213442</v>
      </c>
      <c r="AM75" s="373" t="str">
        <f t="shared" si="0"/>
        <v>$/lb (2016)</v>
      </c>
    </row>
    <row r="76" spans="1:39">
      <c r="A76" s="263" t="s">
        <v>1183</v>
      </c>
      <c r="B76" s="264"/>
      <c r="C76" s="271"/>
      <c r="D76" s="365">
        <v>0.88</v>
      </c>
      <c r="E76" s="264">
        <v>100</v>
      </c>
      <c r="F76" s="264"/>
      <c r="G76" s="271"/>
      <c r="H76" s="271"/>
      <c r="I76" s="268"/>
      <c r="J76" s="271"/>
      <c r="K76" s="271"/>
      <c r="L76" s="271"/>
      <c r="M76" s="271"/>
      <c r="N76" s="271"/>
      <c r="O76" s="271"/>
      <c r="P76" s="265">
        <v>4.835</v>
      </c>
      <c r="Q76" s="264">
        <v>1</v>
      </c>
      <c r="R76" s="264" t="s">
        <v>85</v>
      </c>
      <c r="S76" s="264">
        <v>2008</v>
      </c>
      <c r="T76" s="266" t="s">
        <v>163</v>
      </c>
      <c r="U76" s="267">
        <v>42653</v>
      </c>
      <c r="V76" s="269"/>
      <c r="W76" s="366">
        <f>COUNT(RawMaterials[[#This Row],[Lab Quantity 1]:[Lab Quantity 4]])</f>
        <v>0</v>
      </c>
      <c r="X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6" s="367" t="e">
        <f>RawMaterials[[#This Row],[Lab Price 1]]/RawMaterials[[#This Row],[Lab Q Model Units 1]]</f>
        <v>#N/A</v>
      </c>
      <c r="AC76" s="367" t="e">
        <f>RawMaterials[[#This Row],[Lab Price 2]]/RawMaterials[[#This Row],[Lab Q Model Units 2]]</f>
        <v>#N/A</v>
      </c>
      <c r="AD76" s="367" t="e">
        <f>RawMaterials[[#This Row],[Lab Price 3]]/RawMaterials[[#This Row],[Lab Q Model Units 3]]</f>
        <v>#N/A</v>
      </c>
      <c r="AE76" s="367" t="e">
        <f>RawMaterials[[#This Row],[Lab Price 4]]/RawMaterials[[#This Row],[Lab Q Model Units 4]]</f>
        <v>#N/A</v>
      </c>
      <c r="AF76" s="367" t="str">
        <f ca="1">IF(RawMaterials[[#This Row],[Lab Quote Count]]&gt;1,SLOPE(LOG(INDIRECT("RawMaterials[@[Lab Unit P 1]:[Lab Unit P "&amp;RawMaterials[[#This Row],[Lab Quote Count]]&amp;"]]")),LOG(INDIRECT("RawMaterials[@[Lab Q Model Units 1]:[Lab Q Model Units "&amp;RawMaterials[[#This Row],[Lab Quote Count]]&amp;"]]"))),"")</f>
        <v/>
      </c>
      <c r="AG76" s="367" t="str">
        <f ca="1">IF(RawMaterials[[#This Row],[Lab Quote Count]]&gt;1,INTERCEPT(LOG(INDIRECT("RawMaterials[@[Lab Unit P 1]:[Lab Unit P "&amp;RawMaterials[[#This Row],[Lab Quote Count]]&amp;"]]")),LOG(INDIRECT("RawMaterials[@[Lab Q Model Units 1]:[Lab Q Model Units "&amp;RawMaterials[[#This Row],[Lab Quote Count]]&amp;"]]"))),"")</f>
        <v/>
      </c>
      <c r="AH76" s="368" t="str">
        <f>IF(RawMaterials[[#This Row],[Material Type]]="Metal Precursor","D13",IF(RawMaterials[[#This Row],[Material Type]]="Ligand","D13","D12"))</f>
        <v>D12</v>
      </c>
      <c r="AI76" s="369" t="str">
        <f ca="1">IF(RawMaterials[[#This Row],[Lab Quote Count]]&gt;1,10^RawMaterials[[#This Row],[Lab Log-Log Intercept]]*INDIRECT(RawMaterials[[#This Row],[Basis Cell]])^RawMaterials[[#This Row],[Lab Log-Log Slope]],"&gt;&gt;&gt; Enter 2 or more lab quotes &lt;&lt;&lt;")</f>
        <v>&gt;&gt;&gt; Enter 2 or more lab quotes &lt;&lt;&lt;</v>
      </c>
      <c r="AJ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7.3439559177770111</v>
      </c>
      <c r="AK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0.65836451826954012</v>
      </c>
      <c r="AL76" s="372">
        <f>IF(ISTEXT(RawMaterials[[#This Row],[Unit price in quote year]]),"Check calcs",RawMaterials[[#This Row],[Unit price in quote year]]/VLOOKUP(RawMaterials[[#This Row],[Quote Year]],ChemPPI[],14,FALSE)*VLOOKUP(BasisYear,ChemPPI[],14,FALSE))</f>
        <v>0.77056416065639222</v>
      </c>
      <c r="AM76" s="373" t="str">
        <f t="shared" si="0"/>
        <v>$/lb (2016)</v>
      </c>
    </row>
    <row r="77" spans="1:39">
      <c r="A77" s="263" t="s">
        <v>1184</v>
      </c>
      <c r="B77" s="264"/>
      <c r="C77" s="271"/>
      <c r="D77" s="365"/>
      <c r="E77" s="264">
        <v>100</v>
      </c>
      <c r="F77" s="264"/>
      <c r="G77" s="271"/>
      <c r="H77" s="271"/>
      <c r="I77" s="268"/>
      <c r="J77" s="271"/>
      <c r="K77" s="271"/>
      <c r="L77" s="271"/>
      <c r="M77" s="271"/>
      <c r="N77" s="271"/>
      <c r="O77" s="271"/>
      <c r="P77" s="265">
        <v>0.94</v>
      </c>
      <c r="Q77" s="264">
        <v>1</v>
      </c>
      <c r="R77" s="264" t="s">
        <v>20</v>
      </c>
      <c r="S77" s="264">
        <v>2006</v>
      </c>
      <c r="T77" s="266" t="s">
        <v>163</v>
      </c>
      <c r="U77" s="267">
        <v>42653</v>
      </c>
      <c r="V77" s="269"/>
      <c r="W77" s="366">
        <f>COUNT(RawMaterials[[#This Row],[Lab Quantity 1]:[Lab Quantity 4]])</f>
        <v>0</v>
      </c>
      <c r="X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7" s="367" t="e">
        <f>RawMaterials[[#This Row],[Lab Price 1]]/RawMaterials[[#This Row],[Lab Q Model Units 1]]</f>
        <v>#N/A</v>
      </c>
      <c r="AC77" s="367" t="e">
        <f>RawMaterials[[#This Row],[Lab Price 2]]/RawMaterials[[#This Row],[Lab Q Model Units 2]]</f>
        <v>#N/A</v>
      </c>
      <c r="AD77" s="367" t="e">
        <f>RawMaterials[[#This Row],[Lab Price 3]]/RawMaterials[[#This Row],[Lab Q Model Units 3]]</f>
        <v>#N/A</v>
      </c>
      <c r="AE77" s="367" t="e">
        <f>RawMaterials[[#This Row],[Lab Price 4]]/RawMaterials[[#This Row],[Lab Q Model Units 4]]</f>
        <v>#N/A</v>
      </c>
      <c r="AF77" s="367" t="str">
        <f ca="1">IF(RawMaterials[[#This Row],[Lab Quote Count]]&gt;1,SLOPE(LOG(INDIRECT("RawMaterials[@[Lab Unit P 1]:[Lab Unit P "&amp;RawMaterials[[#This Row],[Lab Quote Count]]&amp;"]]")),LOG(INDIRECT("RawMaterials[@[Lab Q Model Units 1]:[Lab Q Model Units "&amp;RawMaterials[[#This Row],[Lab Quote Count]]&amp;"]]"))),"")</f>
        <v/>
      </c>
      <c r="AG77" s="367" t="str">
        <f ca="1">IF(RawMaterials[[#This Row],[Lab Quote Count]]&gt;1,INTERCEPT(LOG(INDIRECT("RawMaterials[@[Lab Unit P 1]:[Lab Unit P "&amp;RawMaterials[[#This Row],[Lab Quote Count]]&amp;"]]")),LOG(INDIRECT("RawMaterials[@[Lab Q Model Units 1]:[Lab Q Model Units "&amp;RawMaterials[[#This Row],[Lab Quote Count]]&amp;"]]"))),"")</f>
        <v/>
      </c>
      <c r="AH77" s="368" t="str">
        <f>IF(RawMaterials[[#This Row],[Material Type]]="Metal Precursor","D13",IF(RawMaterials[[#This Row],[Material Type]]="Ligand","D13","D12"))</f>
        <v>D12</v>
      </c>
      <c r="AI77" s="369" t="str">
        <f ca="1">IF(RawMaterials[[#This Row],[Lab Quote Count]]&gt;1,10^RawMaterials[[#This Row],[Lab Log-Log Intercept]]*INDIRECT(RawMaterials[[#This Row],[Basis Cell]])^RawMaterials[[#This Row],[Lab Log-Log Slope]],"&gt;&gt;&gt; Enter 2 or more lab quotes &lt;&lt;&lt;")</f>
        <v>&gt;&gt;&gt; Enter 2 or more lab quotes &lt;&lt;&lt;</v>
      </c>
      <c r="AJ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7" s="372">
        <f>IF(ISTEXT(RawMaterials[[#This Row],[Unit price in quote year]]),"Check calcs",RawMaterials[[#This Row],[Unit price in quote year]]/VLOOKUP(RawMaterials[[#This Row],[Quote Year]],ChemPPI[],14,FALSE)*VLOOKUP(BasisYear,ChemPPI[],14,FALSE))</f>
        <v>1.2757825203252036</v>
      </c>
      <c r="AM77" s="373" t="str">
        <f t="shared" si="0"/>
        <v>$/lb (2016)</v>
      </c>
    </row>
    <row r="78" spans="1:39">
      <c r="A78" s="263" t="s">
        <v>1185</v>
      </c>
      <c r="B78" s="264"/>
      <c r="C78" s="271"/>
      <c r="D78" s="365"/>
      <c r="E78" s="264">
        <v>100</v>
      </c>
      <c r="F78" s="264"/>
      <c r="G78" s="271"/>
      <c r="H78" s="271"/>
      <c r="I78" s="268"/>
      <c r="J78" s="271"/>
      <c r="K78" s="271"/>
      <c r="L78" s="271"/>
      <c r="M78" s="271"/>
      <c r="N78" s="271"/>
      <c r="O78" s="271"/>
      <c r="P78" s="265">
        <v>0.94</v>
      </c>
      <c r="Q78" s="264">
        <v>1</v>
      </c>
      <c r="R78" s="264" t="s">
        <v>20</v>
      </c>
      <c r="S78" s="264">
        <v>2006</v>
      </c>
      <c r="T78" s="266" t="s">
        <v>163</v>
      </c>
      <c r="U78" s="267">
        <v>42653</v>
      </c>
      <c r="V78" s="269"/>
      <c r="W78" s="366">
        <f>COUNT(RawMaterials[[#This Row],[Lab Quantity 1]:[Lab Quantity 4]])</f>
        <v>0</v>
      </c>
      <c r="X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8" s="367" t="e">
        <f>RawMaterials[[#This Row],[Lab Price 1]]/RawMaterials[[#This Row],[Lab Q Model Units 1]]</f>
        <v>#N/A</v>
      </c>
      <c r="AC78" s="367" t="e">
        <f>RawMaterials[[#This Row],[Lab Price 2]]/RawMaterials[[#This Row],[Lab Q Model Units 2]]</f>
        <v>#N/A</v>
      </c>
      <c r="AD78" s="367" t="e">
        <f>RawMaterials[[#This Row],[Lab Price 3]]/RawMaterials[[#This Row],[Lab Q Model Units 3]]</f>
        <v>#N/A</v>
      </c>
      <c r="AE78" s="367" t="e">
        <f>RawMaterials[[#This Row],[Lab Price 4]]/RawMaterials[[#This Row],[Lab Q Model Units 4]]</f>
        <v>#N/A</v>
      </c>
      <c r="AF78" s="367" t="str">
        <f ca="1">IF(RawMaterials[[#This Row],[Lab Quote Count]]&gt;1,SLOPE(LOG(INDIRECT("RawMaterials[@[Lab Unit P 1]:[Lab Unit P "&amp;RawMaterials[[#This Row],[Lab Quote Count]]&amp;"]]")),LOG(INDIRECT("RawMaterials[@[Lab Q Model Units 1]:[Lab Q Model Units "&amp;RawMaterials[[#This Row],[Lab Quote Count]]&amp;"]]"))),"")</f>
        <v/>
      </c>
      <c r="AG78" s="367" t="str">
        <f ca="1">IF(RawMaterials[[#This Row],[Lab Quote Count]]&gt;1,INTERCEPT(LOG(INDIRECT("RawMaterials[@[Lab Unit P 1]:[Lab Unit P "&amp;RawMaterials[[#This Row],[Lab Quote Count]]&amp;"]]")),LOG(INDIRECT("RawMaterials[@[Lab Q Model Units 1]:[Lab Q Model Units "&amp;RawMaterials[[#This Row],[Lab Quote Count]]&amp;"]]"))),"")</f>
        <v/>
      </c>
      <c r="AH78" s="368" t="str">
        <f>IF(RawMaterials[[#This Row],[Material Type]]="Metal Precursor","D13",IF(RawMaterials[[#This Row],[Material Type]]="Ligand","D13","D12"))</f>
        <v>D12</v>
      </c>
      <c r="AI78" s="369" t="str">
        <f ca="1">IF(RawMaterials[[#This Row],[Lab Quote Count]]&gt;1,10^RawMaterials[[#This Row],[Lab Log-Log Intercept]]*INDIRECT(RawMaterials[[#This Row],[Basis Cell]])^RawMaterials[[#This Row],[Lab Log-Log Slope]],"&gt;&gt;&gt; Enter 2 or more lab quotes &lt;&lt;&lt;")</f>
        <v>&gt;&gt;&gt; Enter 2 or more lab quotes &lt;&lt;&lt;</v>
      </c>
      <c r="AJ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78" s="372">
        <f>IF(ISTEXT(RawMaterials[[#This Row],[Unit price in quote year]]),"Check calcs",RawMaterials[[#This Row],[Unit price in quote year]]/VLOOKUP(RawMaterials[[#This Row],[Quote Year]],ChemPPI[],14,FALSE)*VLOOKUP(BasisYear,ChemPPI[],14,FALSE))</f>
        <v>1.2757825203252036</v>
      </c>
      <c r="AM78" s="373" t="str">
        <f t="shared" si="0"/>
        <v>$/lb (2016)</v>
      </c>
    </row>
    <row r="79" spans="1:39">
      <c r="A79" s="263" t="s">
        <v>1186</v>
      </c>
      <c r="B79" s="264"/>
      <c r="C79" s="271"/>
      <c r="D79" s="365"/>
      <c r="E79" s="264">
        <v>100</v>
      </c>
      <c r="F79" s="264"/>
      <c r="G79" s="271"/>
      <c r="H79" s="271"/>
      <c r="I79" s="268"/>
      <c r="J79" s="271"/>
      <c r="K79" s="271"/>
      <c r="L79" s="271"/>
      <c r="M79" s="271"/>
      <c r="N79" s="271"/>
      <c r="O79" s="271"/>
      <c r="P79" s="265">
        <v>469.5</v>
      </c>
      <c r="Q79" s="264">
        <v>1</v>
      </c>
      <c r="R79" s="264" t="s">
        <v>1123</v>
      </c>
      <c r="S79" s="264">
        <v>2006</v>
      </c>
      <c r="T79" s="266" t="s">
        <v>163</v>
      </c>
      <c r="U79" s="267">
        <v>42653</v>
      </c>
      <c r="V79" s="269"/>
      <c r="W79" s="366">
        <f>COUNT(RawMaterials[[#This Row],[Lab Quantity 1]:[Lab Quantity 4]])</f>
        <v>0</v>
      </c>
      <c r="X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79" s="367" t="e">
        <f>RawMaterials[[#This Row],[Lab Price 1]]/RawMaterials[[#This Row],[Lab Q Model Units 1]]</f>
        <v>#N/A</v>
      </c>
      <c r="AC79" s="367" t="e">
        <f>RawMaterials[[#This Row],[Lab Price 2]]/RawMaterials[[#This Row],[Lab Q Model Units 2]]</f>
        <v>#N/A</v>
      </c>
      <c r="AD79" s="367" t="e">
        <f>RawMaterials[[#This Row],[Lab Price 3]]/RawMaterials[[#This Row],[Lab Q Model Units 3]]</f>
        <v>#N/A</v>
      </c>
      <c r="AE79" s="367" t="e">
        <f>RawMaterials[[#This Row],[Lab Price 4]]/RawMaterials[[#This Row],[Lab Q Model Units 4]]</f>
        <v>#N/A</v>
      </c>
      <c r="AF79" s="367" t="str">
        <f ca="1">IF(RawMaterials[[#This Row],[Lab Quote Count]]&gt;1,SLOPE(LOG(INDIRECT("RawMaterials[@[Lab Unit P 1]:[Lab Unit P "&amp;RawMaterials[[#This Row],[Lab Quote Count]]&amp;"]]")),LOG(INDIRECT("RawMaterials[@[Lab Q Model Units 1]:[Lab Q Model Units "&amp;RawMaterials[[#This Row],[Lab Quote Count]]&amp;"]]"))),"")</f>
        <v/>
      </c>
      <c r="AG79" s="367" t="str">
        <f ca="1">IF(RawMaterials[[#This Row],[Lab Quote Count]]&gt;1,INTERCEPT(LOG(INDIRECT("RawMaterials[@[Lab Unit P 1]:[Lab Unit P "&amp;RawMaterials[[#This Row],[Lab Quote Count]]&amp;"]]")),LOG(INDIRECT("RawMaterials[@[Lab Q Model Units 1]:[Lab Q Model Units "&amp;RawMaterials[[#This Row],[Lab Quote Count]]&amp;"]]"))),"")</f>
        <v/>
      </c>
      <c r="AH79" s="368" t="str">
        <f>IF(RawMaterials[[#This Row],[Material Type]]="Metal Precursor","D13",IF(RawMaterials[[#This Row],[Material Type]]="Ligand","D13","D12"))</f>
        <v>D12</v>
      </c>
      <c r="AI79" s="369" t="str">
        <f ca="1">IF(RawMaterials[[#This Row],[Lab Quote Count]]&gt;1,10^RawMaterials[[#This Row],[Lab Log-Log Intercept]]*INDIRECT(RawMaterials[[#This Row],[Basis Cell]])^RawMaterials[[#This Row],[Lab Log-Log Slope]],"&gt;&gt;&gt; Enter 2 or more lab quotes &lt;&lt;&lt;")</f>
        <v>&gt;&gt;&gt; Enter 2 or more lab quotes &lt;&lt;&lt;</v>
      </c>
      <c r="AJ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0.212961617715</v>
      </c>
      <c r="AL79" s="372">
        <f>IF(ISTEXT(RawMaterials[[#This Row],[Unit price in quote year]]),"Check calcs",RawMaterials[[#This Row],[Unit price in quote year]]/VLOOKUP(RawMaterials[[#This Row],[Quote Year]],ChemPPI[],14,FALSE)*VLOOKUP(BasisYear,ChemPPI[],14,FALSE))</f>
        <v>0.28903479721380337</v>
      </c>
      <c r="AM79" s="373" t="str">
        <f t="shared" si="0"/>
        <v>$/lb (2016)</v>
      </c>
    </row>
    <row r="80" spans="1:39">
      <c r="A80" s="263" t="s">
        <v>1187</v>
      </c>
      <c r="B80" s="264"/>
      <c r="C80" s="271"/>
      <c r="D80" s="365"/>
      <c r="E80" s="264">
        <v>100</v>
      </c>
      <c r="F80" s="264"/>
      <c r="G80" s="271"/>
      <c r="H80" s="271"/>
      <c r="I80" s="268"/>
      <c r="J80" s="271"/>
      <c r="K80" s="271"/>
      <c r="L80" s="271"/>
      <c r="M80" s="271"/>
      <c r="N80" s="271"/>
      <c r="O80" s="271"/>
      <c r="P80" s="265">
        <v>412.5</v>
      </c>
      <c r="Q80" s="264">
        <v>1</v>
      </c>
      <c r="R80" s="264" t="s">
        <v>1123</v>
      </c>
      <c r="S80" s="264">
        <v>2006</v>
      </c>
      <c r="T80" s="266" t="s">
        <v>163</v>
      </c>
      <c r="U80" s="267">
        <v>42653</v>
      </c>
      <c r="V80" s="269"/>
      <c r="W80" s="366">
        <f>COUNT(RawMaterials[[#This Row],[Lab Quantity 1]:[Lab Quantity 4]])</f>
        <v>0</v>
      </c>
      <c r="X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0" s="367" t="e">
        <f>RawMaterials[[#This Row],[Lab Price 1]]/RawMaterials[[#This Row],[Lab Q Model Units 1]]</f>
        <v>#N/A</v>
      </c>
      <c r="AC80" s="367" t="e">
        <f>RawMaterials[[#This Row],[Lab Price 2]]/RawMaterials[[#This Row],[Lab Q Model Units 2]]</f>
        <v>#N/A</v>
      </c>
      <c r="AD80" s="367" t="e">
        <f>RawMaterials[[#This Row],[Lab Price 3]]/RawMaterials[[#This Row],[Lab Q Model Units 3]]</f>
        <v>#N/A</v>
      </c>
      <c r="AE80" s="367" t="e">
        <f>RawMaterials[[#This Row],[Lab Price 4]]/RawMaterials[[#This Row],[Lab Q Model Units 4]]</f>
        <v>#N/A</v>
      </c>
      <c r="AF80" s="367" t="str">
        <f ca="1">IF(RawMaterials[[#This Row],[Lab Quote Count]]&gt;1,SLOPE(LOG(INDIRECT("RawMaterials[@[Lab Unit P 1]:[Lab Unit P "&amp;RawMaterials[[#This Row],[Lab Quote Count]]&amp;"]]")),LOG(INDIRECT("RawMaterials[@[Lab Q Model Units 1]:[Lab Q Model Units "&amp;RawMaterials[[#This Row],[Lab Quote Count]]&amp;"]]"))),"")</f>
        <v/>
      </c>
      <c r="AG80" s="367" t="str">
        <f ca="1">IF(RawMaterials[[#This Row],[Lab Quote Count]]&gt;1,INTERCEPT(LOG(INDIRECT("RawMaterials[@[Lab Unit P 1]:[Lab Unit P "&amp;RawMaterials[[#This Row],[Lab Quote Count]]&amp;"]]")),LOG(INDIRECT("RawMaterials[@[Lab Q Model Units 1]:[Lab Q Model Units "&amp;RawMaterials[[#This Row],[Lab Quote Count]]&amp;"]]"))),"")</f>
        <v/>
      </c>
      <c r="AH80" s="368" t="str">
        <f>IF(RawMaterials[[#This Row],[Material Type]]="Metal Precursor","D13",IF(RawMaterials[[#This Row],[Material Type]]="Ligand","D13","D12"))</f>
        <v>D12</v>
      </c>
      <c r="AI80" s="369" t="str">
        <f ca="1">IF(RawMaterials[[#This Row],[Lab Quote Count]]&gt;1,10^RawMaterials[[#This Row],[Lab Log-Log Intercept]]*INDIRECT(RawMaterials[[#This Row],[Basis Cell]])^RawMaterials[[#This Row],[Lab Log-Log Slope]],"&gt;&gt;&gt; Enter 2 or more lab quotes &lt;&lt;&lt;")</f>
        <v>&gt;&gt;&gt; Enter 2 or more lab quotes &lt;&lt;&lt;</v>
      </c>
      <c r="AJ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0.18710685262499999</v>
      </c>
      <c r="AL80" s="372">
        <f>IF(ISTEXT(RawMaterials[[#This Row],[Unit price in quote year]]),"Check calcs",RawMaterials[[#This Row],[Unit price in quote year]]/VLOOKUP(RawMaterials[[#This Row],[Quote Year]],ChemPPI[],14,FALSE)*VLOOKUP(BasisYear,ChemPPI[],14,FALSE))</f>
        <v>0.25394431065110523</v>
      </c>
      <c r="AM80" s="373" t="str">
        <f t="shared" ref="AM80:AM143" si="1">CurrencySymbol&amp;"/"&amp;OutMassUnit&amp;" ("&amp;BasisYear&amp;")"</f>
        <v>$/lb (2016)</v>
      </c>
    </row>
    <row r="81" spans="1:39">
      <c r="A81" s="263" t="s">
        <v>1188</v>
      </c>
      <c r="B81" s="264"/>
      <c r="C81" s="271"/>
      <c r="D81" s="365"/>
      <c r="E81" s="264">
        <v>100</v>
      </c>
      <c r="F81" s="264"/>
      <c r="G81" s="271"/>
      <c r="H81" s="271"/>
      <c r="I81" s="268"/>
      <c r="J81" s="271"/>
      <c r="K81" s="271"/>
      <c r="L81" s="271"/>
      <c r="M81" s="271"/>
      <c r="N81" s="271"/>
      <c r="O81" s="271"/>
      <c r="P81" s="265">
        <v>378</v>
      </c>
      <c r="Q81" s="264">
        <v>1</v>
      </c>
      <c r="R81" s="264" t="s">
        <v>406</v>
      </c>
      <c r="S81" s="264">
        <v>2006</v>
      </c>
      <c r="T81" s="266" t="s">
        <v>163</v>
      </c>
      <c r="U81" s="267">
        <v>42653</v>
      </c>
      <c r="V81" s="269"/>
      <c r="W81" s="366">
        <f>COUNT(RawMaterials[[#This Row],[Lab Quantity 1]:[Lab Quantity 4]])</f>
        <v>0</v>
      </c>
      <c r="X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1" s="367" t="e">
        <f>RawMaterials[[#This Row],[Lab Price 1]]/RawMaterials[[#This Row],[Lab Q Model Units 1]]</f>
        <v>#N/A</v>
      </c>
      <c r="AC81" s="367" t="e">
        <f>RawMaterials[[#This Row],[Lab Price 2]]/RawMaterials[[#This Row],[Lab Q Model Units 2]]</f>
        <v>#N/A</v>
      </c>
      <c r="AD81" s="367" t="e">
        <f>RawMaterials[[#This Row],[Lab Price 3]]/RawMaterials[[#This Row],[Lab Q Model Units 3]]</f>
        <v>#N/A</v>
      </c>
      <c r="AE81" s="367" t="e">
        <f>RawMaterials[[#This Row],[Lab Price 4]]/RawMaterials[[#This Row],[Lab Q Model Units 4]]</f>
        <v>#N/A</v>
      </c>
      <c r="AF81" s="367" t="str">
        <f ca="1">IF(RawMaterials[[#This Row],[Lab Quote Count]]&gt;1,SLOPE(LOG(INDIRECT("RawMaterials[@[Lab Unit P 1]:[Lab Unit P "&amp;RawMaterials[[#This Row],[Lab Quote Count]]&amp;"]]")),LOG(INDIRECT("RawMaterials[@[Lab Q Model Units 1]:[Lab Q Model Units "&amp;RawMaterials[[#This Row],[Lab Quote Count]]&amp;"]]"))),"")</f>
        <v/>
      </c>
      <c r="AG81" s="367" t="str">
        <f ca="1">IF(RawMaterials[[#This Row],[Lab Quote Count]]&gt;1,INTERCEPT(LOG(INDIRECT("RawMaterials[@[Lab Unit P 1]:[Lab Unit P "&amp;RawMaterials[[#This Row],[Lab Quote Count]]&amp;"]]")),LOG(INDIRECT("RawMaterials[@[Lab Q Model Units 1]:[Lab Q Model Units "&amp;RawMaterials[[#This Row],[Lab Quote Count]]&amp;"]]"))),"")</f>
        <v/>
      </c>
      <c r="AH81" s="368" t="str">
        <f>IF(RawMaterials[[#This Row],[Material Type]]="Metal Precursor","D13",IF(RawMaterials[[#This Row],[Material Type]]="Ligand","D13","D12"))</f>
        <v>D12</v>
      </c>
      <c r="AI81" s="369" t="str">
        <f ca="1">IF(RawMaterials[[#This Row],[Lab Quote Count]]&gt;1,10^RawMaterials[[#This Row],[Lab Log-Log Intercept]]*INDIRECT(RawMaterials[[#This Row],[Basis Cell]])^RawMaterials[[#This Row],[Lab Log-Log Slope]],"&gt;&gt;&gt; Enter 2 or more lab quotes &lt;&lt;&lt;")</f>
        <v>&gt;&gt;&gt; Enter 2 or more lab quotes &lt;&lt;&lt;</v>
      </c>
      <c r="AJ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0.189</v>
      </c>
      <c r="AL81" s="372">
        <f>IF(ISTEXT(RawMaterials[[#This Row],[Unit price in quote year]]),"Check calcs",RawMaterials[[#This Row],[Unit price in quote year]]/VLOOKUP(RawMaterials[[#This Row],[Quote Year]],ChemPPI[],14,FALSE)*VLOOKUP(BasisYear,ChemPPI[],14,FALSE))</f>
        <v>0.25651371951219515</v>
      </c>
      <c r="AM81" s="373" t="str">
        <f t="shared" si="1"/>
        <v>$/lb (2016)</v>
      </c>
    </row>
    <row r="82" spans="1:39">
      <c r="A82" s="263" t="s">
        <v>1189</v>
      </c>
      <c r="B82" s="264"/>
      <c r="C82" s="271"/>
      <c r="D82" s="365"/>
      <c r="E82" s="264">
        <v>100</v>
      </c>
      <c r="F82" s="264"/>
      <c r="G82" s="271"/>
      <c r="H82" s="271"/>
      <c r="I82" s="268"/>
      <c r="J82" s="271"/>
      <c r="K82" s="271"/>
      <c r="L82" s="271"/>
      <c r="M82" s="271"/>
      <c r="N82" s="271"/>
      <c r="O82" s="271"/>
      <c r="P82" s="265">
        <v>426</v>
      </c>
      <c r="Q82" s="264">
        <v>1</v>
      </c>
      <c r="R82" s="264" t="s">
        <v>406</v>
      </c>
      <c r="S82" s="264">
        <v>2006</v>
      </c>
      <c r="T82" s="266" t="s">
        <v>163</v>
      </c>
      <c r="U82" s="267">
        <v>42653</v>
      </c>
      <c r="V82" s="269"/>
      <c r="W82" s="366">
        <f>COUNT(RawMaterials[[#This Row],[Lab Quantity 1]:[Lab Quantity 4]])</f>
        <v>0</v>
      </c>
      <c r="X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2" s="367" t="e">
        <f>RawMaterials[[#This Row],[Lab Price 1]]/RawMaterials[[#This Row],[Lab Q Model Units 1]]</f>
        <v>#N/A</v>
      </c>
      <c r="AC82" s="367" t="e">
        <f>RawMaterials[[#This Row],[Lab Price 2]]/RawMaterials[[#This Row],[Lab Q Model Units 2]]</f>
        <v>#N/A</v>
      </c>
      <c r="AD82" s="367" t="e">
        <f>RawMaterials[[#This Row],[Lab Price 3]]/RawMaterials[[#This Row],[Lab Q Model Units 3]]</f>
        <v>#N/A</v>
      </c>
      <c r="AE82" s="367" t="e">
        <f>RawMaterials[[#This Row],[Lab Price 4]]/RawMaterials[[#This Row],[Lab Q Model Units 4]]</f>
        <v>#N/A</v>
      </c>
      <c r="AF82" s="367" t="str">
        <f ca="1">IF(RawMaterials[[#This Row],[Lab Quote Count]]&gt;1,SLOPE(LOG(INDIRECT("RawMaterials[@[Lab Unit P 1]:[Lab Unit P "&amp;RawMaterials[[#This Row],[Lab Quote Count]]&amp;"]]")),LOG(INDIRECT("RawMaterials[@[Lab Q Model Units 1]:[Lab Q Model Units "&amp;RawMaterials[[#This Row],[Lab Quote Count]]&amp;"]]"))),"")</f>
        <v/>
      </c>
      <c r="AG82" s="367" t="str">
        <f ca="1">IF(RawMaterials[[#This Row],[Lab Quote Count]]&gt;1,INTERCEPT(LOG(INDIRECT("RawMaterials[@[Lab Unit P 1]:[Lab Unit P "&amp;RawMaterials[[#This Row],[Lab Quote Count]]&amp;"]]")),LOG(INDIRECT("RawMaterials[@[Lab Q Model Units 1]:[Lab Q Model Units "&amp;RawMaterials[[#This Row],[Lab Quote Count]]&amp;"]]"))),"")</f>
        <v/>
      </c>
      <c r="AH82" s="368" t="str">
        <f>IF(RawMaterials[[#This Row],[Material Type]]="Metal Precursor","D13",IF(RawMaterials[[#This Row],[Material Type]]="Ligand","D13","D12"))</f>
        <v>D12</v>
      </c>
      <c r="AI82" s="369" t="str">
        <f ca="1">IF(RawMaterials[[#This Row],[Lab Quote Count]]&gt;1,10^RawMaterials[[#This Row],[Lab Log-Log Intercept]]*INDIRECT(RawMaterials[[#This Row],[Basis Cell]])^RawMaterials[[#This Row],[Lab Log-Log Slope]],"&gt;&gt;&gt; Enter 2 or more lab quotes &lt;&lt;&lt;")</f>
        <v>&gt;&gt;&gt; Enter 2 or more lab quotes &lt;&lt;&lt;</v>
      </c>
      <c r="AJ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0.21299999999999999</v>
      </c>
      <c r="AL82" s="372">
        <f>IF(ISTEXT(RawMaterials[[#This Row],[Unit price in quote year]]),"Check calcs",RawMaterials[[#This Row],[Unit price in quote year]]/VLOOKUP(RawMaterials[[#This Row],[Quote Year]],ChemPPI[],14,FALSE)*VLOOKUP(BasisYear,ChemPPI[],14,FALSE))</f>
        <v>0.28908689024390249</v>
      </c>
      <c r="AM82" s="373" t="str">
        <f t="shared" si="1"/>
        <v>$/lb (2016)</v>
      </c>
    </row>
    <row r="83" spans="1:39">
      <c r="A83" s="263" t="s">
        <v>1190</v>
      </c>
      <c r="B83" s="264"/>
      <c r="C83" s="271"/>
      <c r="D83" s="365"/>
      <c r="E83" s="264">
        <v>100</v>
      </c>
      <c r="F83" s="264"/>
      <c r="G83" s="271"/>
      <c r="H83" s="271"/>
      <c r="I83" s="268"/>
      <c r="J83" s="271"/>
      <c r="K83" s="271"/>
      <c r="L83" s="271"/>
      <c r="M83" s="271"/>
      <c r="N83" s="271"/>
      <c r="O83" s="271"/>
      <c r="P83" s="265">
        <v>917.5</v>
      </c>
      <c r="Q83" s="264">
        <v>1</v>
      </c>
      <c r="R83" s="264" t="s">
        <v>1123</v>
      </c>
      <c r="S83" s="264">
        <v>2006</v>
      </c>
      <c r="T83" s="266" t="s">
        <v>163</v>
      </c>
      <c r="U83" s="267">
        <v>42653</v>
      </c>
      <c r="V83" s="269"/>
      <c r="W83" s="366">
        <f>COUNT(RawMaterials[[#This Row],[Lab Quantity 1]:[Lab Quantity 4]])</f>
        <v>0</v>
      </c>
      <c r="X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3" s="367" t="e">
        <f>RawMaterials[[#This Row],[Lab Price 1]]/RawMaterials[[#This Row],[Lab Q Model Units 1]]</f>
        <v>#N/A</v>
      </c>
      <c r="AC83" s="367" t="e">
        <f>RawMaterials[[#This Row],[Lab Price 2]]/RawMaterials[[#This Row],[Lab Q Model Units 2]]</f>
        <v>#N/A</v>
      </c>
      <c r="AD83" s="367" t="e">
        <f>RawMaterials[[#This Row],[Lab Price 3]]/RawMaterials[[#This Row],[Lab Q Model Units 3]]</f>
        <v>#N/A</v>
      </c>
      <c r="AE83" s="367" t="e">
        <f>RawMaterials[[#This Row],[Lab Price 4]]/RawMaterials[[#This Row],[Lab Q Model Units 4]]</f>
        <v>#N/A</v>
      </c>
      <c r="AF83" s="367" t="str">
        <f ca="1">IF(RawMaterials[[#This Row],[Lab Quote Count]]&gt;1,SLOPE(LOG(INDIRECT("RawMaterials[@[Lab Unit P 1]:[Lab Unit P "&amp;RawMaterials[[#This Row],[Lab Quote Count]]&amp;"]]")),LOG(INDIRECT("RawMaterials[@[Lab Q Model Units 1]:[Lab Q Model Units "&amp;RawMaterials[[#This Row],[Lab Quote Count]]&amp;"]]"))),"")</f>
        <v/>
      </c>
      <c r="AG83" s="367" t="str">
        <f ca="1">IF(RawMaterials[[#This Row],[Lab Quote Count]]&gt;1,INTERCEPT(LOG(INDIRECT("RawMaterials[@[Lab Unit P 1]:[Lab Unit P "&amp;RawMaterials[[#This Row],[Lab Quote Count]]&amp;"]]")),LOG(INDIRECT("RawMaterials[@[Lab Q Model Units 1]:[Lab Q Model Units "&amp;RawMaterials[[#This Row],[Lab Quote Count]]&amp;"]]"))),"")</f>
        <v/>
      </c>
      <c r="AH83" s="368" t="str">
        <f>IF(RawMaterials[[#This Row],[Material Type]]="Metal Precursor","D13",IF(RawMaterials[[#This Row],[Material Type]]="Ligand","D13","D12"))</f>
        <v>D12</v>
      </c>
      <c r="AI83" s="369" t="str">
        <f ca="1">IF(RawMaterials[[#This Row],[Lab Quote Count]]&gt;1,10^RawMaterials[[#This Row],[Lab Log-Log Intercept]]*INDIRECT(RawMaterials[[#This Row],[Basis Cell]])^RawMaterials[[#This Row],[Lab Log-Log Slope]],"&gt;&gt;&gt; Enter 2 or more lab quotes &lt;&lt;&lt;")</f>
        <v>&gt;&gt;&gt; Enter 2 or more lab quotes &lt;&lt;&lt;</v>
      </c>
      <c r="AJ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0.41617099947499997</v>
      </c>
      <c r="AL83" s="372">
        <f>IF(ISTEXT(RawMaterials[[#This Row],[Unit price in quote year]]),"Check calcs",RawMaterials[[#This Row],[Unit price in quote year]]/VLOOKUP(RawMaterials[[#This Row],[Quote Year]],ChemPPI[],14,FALSE)*VLOOKUP(BasisYear,ChemPPI[],14,FALSE))</f>
        <v>0.56483370914518549</v>
      </c>
      <c r="AM83" s="373" t="str">
        <f t="shared" si="1"/>
        <v>$/lb (2016)</v>
      </c>
    </row>
    <row r="84" spans="1:39">
      <c r="A84" s="263" t="s">
        <v>1191</v>
      </c>
      <c r="B84" s="264"/>
      <c r="C84" s="271"/>
      <c r="D84" s="365"/>
      <c r="E84" s="264">
        <v>100</v>
      </c>
      <c r="F84" s="264"/>
      <c r="G84" s="271"/>
      <c r="H84" s="271"/>
      <c r="I84" s="268"/>
      <c r="J84" s="271"/>
      <c r="K84" s="271"/>
      <c r="L84" s="271"/>
      <c r="M84" s="271"/>
      <c r="N84" s="271"/>
      <c r="O84" s="271"/>
      <c r="P84" s="265">
        <v>836</v>
      </c>
      <c r="Q84" s="264">
        <v>1</v>
      </c>
      <c r="R84" s="264" t="s">
        <v>406</v>
      </c>
      <c r="S84" s="264">
        <v>2006</v>
      </c>
      <c r="T84" s="266" t="s">
        <v>163</v>
      </c>
      <c r="U84" s="267">
        <v>42653</v>
      </c>
      <c r="V84" s="269"/>
      <c r="W84" s="366">
        <f>COUNT(RawMaterials[[#This Row],[Lab Quantity 1]:[Lab Quantity 4]])</f>
        <v>0</v>
      </c>
      <c r="X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4" s="367" t="e">
        <f>RawMaterials[[#This Row],[Lab Price 1]]/RawMaterials[[#This Row],[Lab Q Model Units 1]]</f>
        <v>#N/A</v>
      </c>
      <c r="AC84" s="367" t="e">
        <f>RawMaterials[[#This Row],[Lab Price 2]]/RawMaterials[[#This Row],[Lab Q Model Units 2]]</f>
        <v>#N/A</v>
      </c>
      <c r="AD84" s="367" t="e">
        <f>RawMaterials[[#This Row],[Lab Price 3]]/RawMaterials[[#This Row],[Lab Q Model Units 3]]</f>
        <v>#N/A</v>
      </c>
      <c r="AE84" s="367" t="e">
        <f>RawMaterials[[#This Row],[Lab Price 4]]/RawMaterials[[#This Row],[Lab Q Model Units 4]]</f>
        <v>#N/A</v>
      </c>
      <c r="AF84" s="367" t="str">
        <f ca="1">IF(RawMaterials[[#This Row],[Lab Quote Count]]&gt;1,SLOPE(LOG(INDIRECT("RawMaterials[@[Lab Unit P 1]:[Lab Unit P "&amp;RawMaterials[[#This Row],[Lab Quote Count]]&amp;"]]")),LOG(INDIRECT("RawMaterials[@[Lab Q Model Units 1]:[Lab Q Model Units "&amp;RawMaterials[[#This Row],[Lab Quote Count]]&amp;"]]"))),"")</f>
        <v/>
      </c>
      <c r="AG84" s="367" t="str">
        <f ca="1">IF(RawMaterials[[#This Row],[Lab Quote Count]]&gt;1,INTERCEPT(LOG(INDIRECT("RawMaterials[@[Lab Unit P 1]:[Lab Unit P "&amp;RawMaterials[[#This Row],[Lab Quote Count]]&amp;"]]")),LOG(INDIRECT("RawMaterials[@[Lab Q Model Units 1]:[Lab Q Model Units "&amp;RawMaterials[[#This Row],[Lab Quote Count]]&amp;"]]"))),"")</f>
        <v/>
      </c>
      <c r="AH84" s="368" t="str">
        <f>IF(RawMaterials[[#This Row],[Material Type]]="Metal Precursor","D13",IF(RawMaterials[[#This Row],[Material Type]]="Ligand","D13","D12"))</f>
        <v>D12</v>
      </c>
      <c r="AI84" s="369" t="str">
        <f ca="1">IF(RawMaterials[[#This Row],[Lab Quote Count]]&gt;1,10^RawMaterials[[#This Row],[Lab Log-Log Intercept]]*INDIRECT(RawMaterials[[#This Row],[Basis Cell]])^RawMaterials[[#This Row],[Lab Log-Log Slope]],"&gt;&gt;&gt; Enter 2 or more lab quotes &lt;&lt;&lt;")</f>
        <v>&gt;&gt;&gt; Enter 2 or more lab quotes &lt;&lt;&lt;</v>
      </c>
      <c r="AJ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0.41799999999999998</v>
      </c>
      <c r="AL84" s="372">
        <f>IF(ISTEXT(RawMaterials[[#This Row],[Unit price in quote year]]),"Check calcs",RawMaterials[[#This Row],[Unit price in quote year]]/VLOOKUP(RawMaterials[[#This Row],[Quote Year]],ChemPPI[],14,FALSE)*VLOOKUP(BasisYear,ChemPPI[],14,FALSE))</f>
        <v>0.56731605691056919</v>
      </c>
      <c r="AM84" s="373" t="str">
        <f t="shared" si="1"/>
        <v>$/lb (2016)</v>
      </c>
    </row>
    <row r="85" spans="1:39">
      <c r="A85" s="263" t="s">
        <v>1192</v>
      </c>
      <c r="B85" s="264"/>
      <c r="C85" s="271"/>
      <c r="D85" s="365"/>
      <c r="E85" s="264">
        <v>100</v>
      </c>
      <c r="F85" s="264"/>
      <c r="G85" s="271"/>
      <c r="H85" s="271"/>
      <c r="I85" s="268"/>
      <c r="J85" s="271"/>
      <c r="K85" s="271"/>
      <c r="L85" s="271"/>
      <c r="M85" s="271"/>
      <c r="N85" s="271"/>
      <c r="O85" s="271"/>
      <c r="P85" s="265">
        <v>0.64</v>
      </c>
      <c r="Q85" s="264">
        <v>1</v>
      </c>
      <c r="R85" s="264" t="s">
        <v>20</v>
      </c>
      <c r="S85" s="264">
        <v>2006</v>
      </c>
      <c r="T85" s="266" t="s">
        <v>163</v>
      </c>
      <c r="U85" s="267">
        <v>42653</v>
      </c>
      <c r="V85" s="269"/>
      <c r="W85" s="366">
        <f>COUNT(RawMaterials[[#This Row],[Lab Quantity 1]:[Lab Quantity 4]])</f>
        <v>0</v>
      </c>
      <c r="X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5" s="367" t="e">
        <f>RawMaterials[[#This Row],[Lab Price 1]]/RawMaterials[[#This Row],[Lab Q Model Units 1]]</f>
        <v>#N/A</v>
      </c>
      <c r="AC85" s="367" t="e">
        <f>RawMaterials[[#This Row],[Lab Price 2]]/RawMaterials[[#This Row],[Lab Q Model Units 2]]</f>
        <v>#N/A</v>
      </c>
      <c r="AD85" s="367" t="e">
        <f>RawMaterials[[#This Row],[Lab Price 3]]/RawMaterials[[#This Row],[Lab Q Model Units 3]]</f>
        <v>#N/A</v>
      </c>
      <c r="AE85" s="367" t="e">
        <f>RawMaterials[[#This Row],[Lab Price 4]]/RawMaterials[[#This Row],[Lab Q Model Units 4]]</f>
        <v>#N/A</v>
      </c>
      <c r="AF85" s="367" t="str">
        <f ca="1">IF(RawMaterials[[#This Row],[Lab Quote Count]]&gt;1,SLOPE(LOG(INDIRECT("RawMaterials[@[Lab Unit P 1]:[Lab Unit P "&amp;RawMaterials[[#This Row],[Lab Quote Count]]&amp;"]]")),LOG(INDIRECT("RawMaterials[@[Lab Q Model Units 1]:[Lab Q Model Units "&amp;RawMaterials[[#This Row],[Lab Quote Count]]&amp;"]]"))),"")</f>
        <v/>
      </c>
      <c r="AG85" s="367" t="str">
        <f ca="1">IF(RawMaterials[[#This Row],[Lab Quote Count]]&gt;1,INTERCEPT(LOG(INDIRECT("RawMaterials[@[Lab Unit P 1]:[Lab Unit P "&amp;RawMaterials[[#This Row],[Lab Quote Count]]&amp;"]]")),LOG(INDIRECT("RawMaterials[@[Lab Q Model Units 1]:[Lab Q Model Units "&amp;RawMaterials[[#This Row],[Lab Quote Count]]&amp;"]]"))),"")</f>
        <v/>
      </c>
      <c r="AH85" s="368" t="str">
        <f>IF(RawMaterials[[#This Row],[Material Type]]="Metal Precursor","D13",IF(RawMaterials[[#This Row],[Material Type]]="Ligand","D13","D12"))</f>
        <v>D12</v>
      </c>
      <c r="AI85" s="369" t="str">
        <f ca="1">IF(RawMaterials[[#This Row],[Lab Quote Count]]&gt;1,10^RawMaterials[[#This Row],[Lab Log-Log Intercept]]*INDIRECT(RawMaterials[[#This Row],[Basis Cell]])^RawMaterials[[#This Row],[Lab Log-Log Slope]],"&gt;&gt;&gt; Enter 2 or more lab quotes &lt;&lt;&lt;")</f>
        <v>&gt;&gt;&gt; Enter 2 or more lab quotes &lt;&lt;&lt;</v>
      </c>
      <c r="AJ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v>
      </c>
      <c r="AL85" s="372">
        <f>IF(ISTEXT(RawMaterials[[#This Row],[Unit price in quote year]]),"Check calcs",RawMaterials[[#This Row],[Unit price in quote year]]/VLOOKUP(RawMaterials[[#This Row],[Quote Year]],ChemPPI[],14,FALSE)*VLOOKUP(BasisYear,ChemPPI[],14,FALSE))</f>
        <v>0.86861788617886193</v>
      </c>
      <c r="AM85" s="373" t="str">
        <f t="shared" si="1"/>
        <v>$/lb (2016)</v>
      </c>
    </row>
    <row r="86" spans="1:39">
      <c r="A86" s="263" t="s">
        <v>1193</v>
      </c>
      <c r="B86" s="264"/>
      <c r="C86" s="271"/>
      <c r="D86" s="365"/>
      <c r="E86" s="264">
        <v>100</v>
      </c>
      <c r="F86" s="264"/>
      <c r="G86" s="271"/>
      <c r="H86" s="271"/>
      <c r="I86" s="268"/>
      <c r="J86" s="271"/>
      <c r="K86" s="271"/>
      <c r="L86" s="271"/>
      <c r="M86" s="271"/>
      <c r="N86" s="271"/>
      <c r="O86" s="271"/>
      <c r="P86" s="265">
        <v>0.84499999999999997</v>
      </c>
      <c r="Q86" s="264">
        <v>1</v>
      </c>
      <c r="R86" s="264" t="s">
        <v>20</v>
      </c>
      <c r="S86" s="264">
        <v>2008</v>
      </c>
      <c r="T86" s="266" t="s">
        <v>163</v>
      </c>
      <c r="U86" s="267">
        <v>42653</v>
      </c>
      <c r="V86" s="269"/>
      <c r="W86" s="366">
        <f>COUNT(RawMaterials[[#This Row],[Lab Quantity 1]:[Lab Quantity 4]])</f>
        <v>0</v>
      </c>
      <c r="X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6" s="367" t="e">
        <f>RawMaterials[[#This Row],[Lab Price 1]]/RawMaterials[[#This Row],[Lab Q Model Units 1]]</f>
        <v>#N/A</v>
      </c>
      <c r="AC86" s="367" t="e">
        <f>RawMaterials[[#This Row],[Lab Price 2]]/RawMaterials[[#This Row],[Lab Q Model Units 2]]</f>
        <v>#N/A</v>
      </c>
      <c r="AD86" s="367" t="e">
        <f>RawMaterials[[#This Row],[Lab Price 3]]/RawMaterials[[#This Row],[Lab Q Model Units 3]]</f>
        <v>#N/A</v>
      </c>
      <c r="AE86" s="367" t="e">
        <f>RawMaterials[[#This Row],[Lab Price 4]]/RawMaterials[[#This Row],[Lab Q Model Units 4]]</f>
        <v>#N/A</v>
      </c>
      <c r="AF86" s="367" t="str">
        <f ca="1">IF(RawMaterials[[#This Row],[Lab Quote Count]]&gt;1,SLOPE(LOG(INDIRECT("RawMaterials[@[Lab Unit P 1]:[Lab Unit P "&amp;RawMaterials[[#This Row],[Lab Quote Count]]&amp;"]]")),LOG(INDIRECT("RawMaterials[@[Lab Q Model Units 1]:[Lab Q Model Units "&amp;RawMaterials[[#This Row],[Lab Quote Count]]&amp;"]]"))),"")</f>
        <v/>
      </c>
      <c r="AG86" s="367" t="str">
        <f ca="1">IF(RawMaterials[[#This Row],[Lab Quote Count]]&gt;1,INTERCEPT(LOG(INDIRECT("RawMaterials[@[Lab Unit P 1]:[Lab Unit P "&amp;RawMaterials[[#This Row],[Lab Quote Count]]&amp;"]]")),LOG(INDIRECT("RawMaterials[@[Lab Q Model Units 1]:[Lab Q Model Units "&amp;RawMaterials[[#This Row],[Lab Quote Count]]&amp;"]]"))),"")</f>
        <v/>
      </c>
      <c r="AH86" s="368" t="str">
        <f>IF(RawMaterials[[#This Row],[Material Type]]="Metal Precursor","D13",IF(RawMaterials[[#This Row],[Material Type]]="Ligand","D13","D12"))</f>
        <v>D12</v>
      </c>
      <c r="AI86" s="369" t="str">
        <f ca="1">IF(RawMaterials[[#This Row],[Lab Quote Count]]&gt;1,10^RawMaterials[[#This Row],[Lab Log-Log Intercept]]*INDIRECT(RawMaterials[[#This Row],[Basis Cell]])^RawMaterials[[#This Row],[Lab Log-Log Slope]],"&gt;&gt;&gt; Enter 2 or more lab quotes &lt;&lt;&lt;")</f>
        <v>&gt;&gt;&gt; Enter 2 or more lab quotes &lt;&lt;&lt;</v>
      </c>
      <c r="AJ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86" s="372">
        <f>IF(ISTEXT(RawMaterials[[#This Row],[Unit price in quote year]]),"Check calcs",RawMaterials[[#This Row],[Unit price in quote year]]/VLOOKUP(RawMaterials[[#This Row],[Quote Year]],ChemPPI[],14,FALSE)*VLOOKUP(BasisYear,ChemPPI[],14,FALSE))</f>
        <v>0.98900639035968607</v>
      </c>
      <c r="AM86" s="373" t="str">
        <f t="shared" si="1"/>
        <v>$/lb (2016)</v>
      </c>
    </row>
    <row r="87" spans="1:39">
      <c r="A87" s="263" t="s">
        <v>1194</v>
      </c>
      <c r="B87" s="264"/>
      <c r="C87" s="271"/>
      <c r="D87" s="365"/>
      <c r="E87" s="264">
        <v>100</v>
      </c>
      <c r="F87" s="264"/>
      <c r="G87" s="271"/>
      <c r="H87" s="271"/>
      <c r="I87" s="268"/>
      <c r="J87" s="271"/>
      <c r="K87" s="271"/>
      <c r="L87" s="271"/>
      <c r="M87" s="271"/>
      <c r="N87" s="271"/>
      <c r="O87" s="271"/>
      <c r="P87" s="265">
        <v>0.54</v>
      </c>
      <c r="Q87" s="264">
        <v>1</v>
      </c>
      <c r="R87" s="264" t="s">
        <v>20</v>
      </c>
      <c r="S87" s="264">
        <v>2008</v>
      </c>
      <c r="T87" s="266" t="s">
        <v>163</v>
      </c>
      <c r="U87" s="267">
        <v>42653</v>
      </c>
      <c r="V87" s="269"/>
      <c r="W87" s="366">
        <f>COUNT(RawMaterials[[#This Row],[Lab Quantity 1]:[Lab Quantity 4]])</f>
        <v>0</v>
      </c>
      <c r="X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7" s="367" t="e">
        <f>RawMaterials[[#This Row],[Lab Price 1]]/RawMaterials[[#This Row],[Lab Q Model Units 1]]</f>
        <v>#N/A</v>
      </c>
      <c r="AC87" s="367" t="e">
        <f>RawMaterials[[#This Row],[Lab Price 2]]/RawMaterials[[#This Row],[Lab Q Model Units 2]]</f>
        <v>#N/A</v>
      </c>
      <c r="AD87" s="367" t="e">
        <f>RawMaterials[[#This Row],[Lab Price 3]]/RawMaterials[[#This Row],[Lab Q Model Units 3]]</f>
        <v>#N/A</v>
      </c>
      <c r="AE87" s="367" t="e">
        <f>RawMaterials[[#This Row],[Lab Price 4]]/RawMaterials[[#This Row],[Lab Q Model Units 4]]</f>
        <v>#N/A</v>
      </c>
      <c r="AF87" s="367" t="str">
        <f ca="1">IF(RawMaterials[[#This Row],[Lab Quote Count]]&gt;1,SLOPE(LOG(INDIRECT("RawMaterials[@[Lab Unit P 1]:[Lab Unit P "&amp;RawMaterials[[#This Row],[Lab Quote Count]]&amp;"]]")),LOG(INDIRECT("RawMaterials[@[Lab Q Model Units 1]:[Lab Q Model Units "&amp;RawMaterials[[#This Row],[Lab Quote Count]]&amp;"]]"))),"")</f>
        <v/>
      </c>
      <c r="AG87" s="367" t="str">
        <f ca="1">IF(RawMaterials[[#This Row],[Lab Quote Count]]&gt;1,INTERCEPT(LOG(INDIRECT("RawMaterials[@[Lab Unit P 1]:[Lab Unit P "&amp;RawMaterials[[#This Row],[Lab Quote Count]]&amp;"]]")),LOG(INDIRECT("RawMaterials[@[Lab Q Model Units 1]:[Lab Q Model Units "&amp;RawMaterials[[#This Row],[Lab Quote Count]]&amp;"]]"))),"")</f>
        <v/>
      </c>
      <c r="AH87" s="368" t="str">
        <f>IF(RawMaterials[[#This Row],[Material Type]]="Metal Precursor","D13",IF(RawMaterials[[#This Row],[Material Type]]="Ligand","D13","D12"))</f>
        <v>D12</v>
      </c>
      <c r="AI87" s="369" t="str">
        <f ca="1">IF(RawMaterials[[#This Row],[Lab Quote Count]]&gt;1,10^RawMaterials[[#This Row],[Lab Log-Log Intercept]]*INDIRECT(RawMaterials[[#This Row],[Basis Cell]])^RawMaterials[[#This Row],[Lab Log-Log Slope]],"&gt;&gt;&gt; Enter 2 or more lab quotes &lt;&lt;&lt;")</f>
        <v>&gt;&gt;&gt; Enter 2 or more lab quotes &lt;&lt;&lt;</v>
      </c>
      <c r="AJ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87" s="372">
        <f>IF(ISTEXT(RawMaterials[[#This Row],[Unit price in quote year]]),"Check calcs",RawMaterials[[#This Row],[Unit price in quote year]]/VLOOKUP(RawMaterials[[#This Row],[Quote Year]],ChemPPI[],14,FALSE)*VLOOKUP(BasisYear,ChemPPI[],14,FALSE))</f>
        <v>0.63202775241920772</v>
      </c>
      <c r="AM87" s="373" t="str">
        <f t="shared" si="1"/>
        <v>$/lb (2016)</v>
      </c>
    </row>
    <row r="88" spans="1:39">
      <c r="A88" s="263" t="s">
        <v>1195</v>
      </c>
      <c r="B88" s="264"/>
      <c r="C88" s="271"/>
      <c r="D88" s="365"/>
      <c r="E88" s="264">
        <v>100</v>
      </c>
      <c r="F88" s="264"/>
      <c r="G88" s="271"/>
      <c r="H88" s="271"/>
      <c r="I88" s="268"/>
      <c r="J88" s="271"/>
      <c r="K88" s="271"/>
      <c r="L88" s="271"/>
      <c r="M88" s="271"/>
      <c r="N88" s="271"/>
      <c r="O88" s="271"/>
      <c r="P88" s="265">
        <v>0.98</v>
      </c>
      <c r="Q88" s="264">
        <v>1</v>
      </c>
      <c r="R88" s="264" t="s">
        <v>20</v>
      </c>
      <c r="S88" s="264">
        <v>2008</v>
      </c>
      <c r="T88" s="266" t="s">
        <v>163</v>
      </c>
      <c r="U88" s="267">
        <v>42653</v>
      </c>
      <c r="V88" s="269"/>
      <c r="W88" s="366">
        <f>COUNT(RawMaterials[[#This Row],[Lab Quantity 1]:[Lab Quantity 4]])</f>
        <v>0</v>
      </c>
      <c r="X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8" s="367" t="e">
        <f>RawMaterials[[#This Row],[Lab Price 1]]/RawMaterials[[#This Row],[Lab Q Model Units 1]]</f>
        <v>#N/A</v>
      </c>
      <c r="AC88" s="367" t="e">
        <f>RawMaterials[[#This Row],[Lab Price 2]]/RawMaterials[[#This Row],[Lab Q Model Units 2]]</f>
        <v>#N/A</v>
      </c>
      <c r="AD88" s="367" t="e">
        <f>RawMaterials[[#This Row],[Lab Price 3]]/RawMaterials[[#This Row],[Lab Q Model Units 3]]</f>
        <v>#N/A</v>
      </c>
      <c r="AE88" s="367" t="e">
        <f>RawMaterials[[#This Row],[Lab Price 4]]/RawMaterials[[#This Row],[Lab Q Model Units 4]]</f>
        <v>#N/A</v>
      </c>
      <c r="AF88" s="367" t="str">
        <f ca="1">IF(RawMaterials[[#This Row],[Lab Quote Count]]&gt;1,SLOPE(LOG(INDIRECT("RawMaterials[@[Lab Unit P 1]:[Lab Unit P "&amp;RawMaterials[[#This Row],[Lab Quote Count]]&amp;"]]")),LOG(INDIRECT("RawMaterials[@[Lab Q Model Units 1]:[Lab Q Model Units "&amp;RawMaterials[[#This Row],[Lab Quote Count]]&amp;"]]"))),"")</f>
        <v/>
      </c>
      <c r="AG88" s="367" t="str">
        <f ca="1">IF(RawMaterials[[#This Row],[Lab Quote Count]]&gt;1,INTERCEPT(LOG(INDIRECT("RawMaterials[@[Lab Unit P 1]:[Lab Unit P "&amp;RawMaterials[[#This Row],[Lab Quote Count]]&amp;"]]")),LOG(INDIRECT("RawMaterials[@[Lab Q Model Units 1]:[Lab Q Model Units "&amp;RawMaterials[[#This Row],[Lab Quote Count]]&amp;"]]"))),"")</f>
        <v/>
      </c>
      <c r="AH88" s="368" t="str">
        <f>IF(RawMaterials[[#This Row],[Material Type]]="Metal Precursor","D13",IF(RawMaterials[[#This Row],[Material Type]]="Ligand","D13","D12"))</f>
        <v>D12</v>
      </c>
      <c r="AI88" s="369" t="str">
        <f ca="1">IF(RawMaterials[[#This Row],[Lab Quote Count]]&gt;1,10^RawMaterials[[#This Row],[Lab Log-Log Intercept]]*INDIRECT(RawMaterials[[#This Row],[Basis Cell]])^RawMaterials[[#This Row],[Lab Log-Log Slope]],"&gt;&gt;&gt; Enter 2 or more lab quotes &lt;&lt;&lt;")</f>
        <v>&gt;&gt;&gt; Enter 2 or more lab quotes &lt;&lt;&lt;</v>
      </c>
      <c r="AJ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0.98</v>
      </c>
      <c r="AL88" s="372">
        <f>IF(ISTEXT(RawMaterials[[#This Row],[Unit price in quote year]]),"Check calcs",RawMaterials[[#This Row],[Unit price in quote year]]/VLOOKUP(RawMaterials[[#This Row],[Quote Year]],ChemPPI[],14,FALSE)*VLOOKUP(BasisYear,ChemPPI[],14,FALSE))</f>
        <v>1.1470133284644879</v>
      </c>
      <c r="AM88" s="373" t="str">
        <f t="shared" si="1"/>
        <v>$/lb (2016)</v>
      </c>
    </row>
    <row r="89" spans="1:39">
      <c r="A89" s="263" t="s">
        <v>1196</v>
      </c>
      <c r="B89" s="264"/>
      <c r="C89" s="271"/>
      <c r="D89" s="365"/>
      <c r="E89" s="264">
        <v>100</v>
      </c>
      <c r="F89" s="264"/>
      <c r="G89" s="271"/>
      <c r="H89" s="271"/>
      <c r="I89" s="268"/>
      <c r="J89" s="271"/>
      <c r="K89" s="271"/>
      <c r="L89" s="271"/>
      <c r="M89" s="271"/>
      <c r="N89" s="271"/>
      <c r="O89" s="271"/>
      <c r="P89" s="265">
        <v>0.34</v>
      </c>
      <c r="Q89" s="264">
        <v>1</v>
      </c>
      <c r="R89" s="264" t="s">
        <v>20</v>
      </c>
      <c r="S89" s="264">
        <v>2006</v>
      </c>
      <c r="T89" s="266" t="s">
        <v>163</v>
      </c>
      <c r="U89" s="267">
        <v>42653</v>
      </c>
      <c r="V89" s="269"/>
      <c r="W89" s="366">
        <f>COUNT(RawMaterials[[#This Row],[Lab Quantity 1]:[Lab Quantity 4]])</f>
        <v>0</v>
      </c>
      <c r="X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89" s="367" t="e">
        <f>RawMaterials[[#This Row],[Lab Price 1]]/RawMaterials[[#This Row],[Lab Q Model Units 1]]</f>
        <v>#N/A</v>
      </c>
      <c r="AC89" s="367" t="e">
        <f>RawMaterials[[#This Row],[Lab Price 2]]/RawMaterials[[#This Row],[Lab Q Model Units 2]]</f>
        <v>#N/A</v>
      </c>
      <c r="AD89" s="367" t="e">
        <f>RawMaterials[[#This Row],[Lab Price 3]]/RawMaterials[[#This Row],[Lab Q Model Units 3]]</f>
        <v>#N/A</v>
      </c>
      <c r="AE89" s="367" t="e">
        <f>RawMaterials[[#This Row],[Lab Price 4]]/RawMaterials[[#This Row],[Lab Q Model Units 4]]</f>
        <v>#N/A</v>
      </c>
      <c r="AF89" s="367" t="str">
        <f ca="1">IF(RawMaterials[[#This Row],[Lab Quote Count]]&gt;1,SLOPE(LOG(INDIRECT("RawMaterials[@[Lab Unit P 1]:[Lab Unit P "&amp;RawMaterials[[#This Row],[Lab Quote Count]]&amp;"]]")),LOG(INDIRECT("RawMaterials[@[Lab Q Model Units 1]:[Lab Q Model Units "&amp;RawMaterials[[#This Row],[Lab Quote Count]]&amp;"]]"))),"")</f>
        <v/>
      </c>
      <c r="AG89" s="367" t="str">
        <f ca="1">IF(RawMaterials[[#This Row],[Lab Quote Count]]&gt;1,INTERCEPT(LOG(INDIRECT("RawMaterials[@[Lab Unit P 1]:[Lab Unit P "&amp;RawMaterials[[#This Row],[Lab Quote Count]]&amp;"]]")),LOG(INDIRECT("RawMaterials[@[Lab Q Model Units 1]:[Lab Q Model Units "&amp;RawMaterials[[#This Row],[Lab Quote Count]]&amp;"]]"))),"")</f>
        <v/>
      </c>
      <c r="AH89" s="368" t="str">
        <f>IF(RawMaterials[[#This Row],[Material Type]]="Metal Precursor","D13",IF(RawMaterials[[#This Row],[Material Type]]="Ligand","D13","D12"))</f>
        <v>D12</v>
      </c>
      <c r="AI89" s="369" t="str">
        <f ca="1">IF(RawMaterials[[#This Row],[Lab Quote Count]]&gt;1,10^RawMaterials[[#This Row],[Lab Log-Log Intercept]]*INDIRECT(RawMaterials[[#This Row],[Basis Cell]])^RawMaterials[[#This Row],[Lab Log-Log Slope]],"&gt;&gt;&gt; Enter 2 or more lab quotes &lt;&lt;&lt;")</f>
        <v>&gt;&gt;&gt; Enter 2 or more lab quotes &lt;&lt;&lt;</v>
      </c>
      <c r="AJ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v>
      </c>
      <c r="AL89" s="372">
        <f>IF(ISTEXT(RawMaterials[[#This Row],[Unit price in quote year]]),"Check calcs",RawMaterials[[#This Row],[Unit price in quote year]]/VLOOKUP(RawMaterials[[#This Row],[Quote Year]],ChemPPI[],14,FALSE)*VLOOKUP(BasisYear,ChemPPI[],14,FALSE))</f>
        <v>0.46145325203252047</v>
      </c>
      <c r="AM89" s="373" t="str">
        <f t="shared" si="1"/>
        <v>$/lb (2016)</v>
      </c>
    </row>
    <row r="90" spans="1:39">
      <c r="A90" s="263" t="s">
        <v>1197</v>
      </c>
      <c r="B90" s="264"/>
      <c r="C90" s="271"/>
      <c r="D90" s="365"/>
      <c r="E90" s="264">
        <v>100</v>
      </c>
      <c r="F90" s="264"/>
      <c r="G90" s="271"/>
      <c r="H90" s="271"/>
      <c r="I90" s="268"/>
      <c r="J90" s="271"/>
      <c r="K90" s="271"/>
      <c r="L90" s="271"/>
      <c r="M90" s="271"/>
      <c r="N90" s="271"/>
      <c r="O90" s="271"/>
      <c r="P90" s="265">
        <v>0.81</v>
      </c>
      <c r="Q90" s="264">
        <v>1</v>
      </c>
      <c r="R90" s="264" t="s">
        <v>20</v>
      </c>
      <c r="S90" s="264">
        <v>2008</v>
      </c>
      <c r="T90" s="266" t="s">
        <v>163</v>
      </c>
      <c r="U90" s="267">
        <v>42653</v>
      </c>
      <c r="V90" s="269"/>
      <c r="W90" s="366">
        <f>COUNT(RawMaterials[[#This Row],[Lab Quantity 1]:[Lab Quantity 4]])</f>
        <v>0</v>
      </c>
      <c r="X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0" s="367" t="e">
        <f>RawMaterials[[#This Row],[Lab Price 1]]/RawMaterials[[#This Row],[Lab Q Model Units 1]]</f>
        <v>#N/A</v>
      </c>
      <c r="AC90" s="367" t="e">
        <f>RawMaterials[[#This Row],[Lab Price 2]]/RawMaterials[[#This Row],[Lab Q Model Units 2]]</f>
        <v>#N/A</v>
      </c>
      <c r="AD90" s="367" t="e">
        <f>RawMaterials[[#This Row],[Lab Price 3]]/RawMaterials[[#This Row],[Lab Q Model Units 3]]</f>
        <v>#N/A</v>
      </c>
      <c r="AE90" s="367" t="e">
        <f>RawMaterials[[#This Row],[Lab Price 4]]/RawMaterials[[#This Row],[Lab Q Model Units 4]]</f>
        <v>#N/A</v>
      </c>
      <c r="AF90" s="367" t="str">
        <f ca="1">IF(RawMaterials[[#This Row],[Lab Quote Count]]&gt;1,SLOPE(LOG(INDIRECT("RawMaterials[@[Lab Unit P 1]:[Lab Unit P "&amp;RawMaterials[[#This Row],[Lab Quote Count]]&amp;"]]")),LOG(INDIRECT("RawMaterials[@[Lab Q Model Units 1]:[Lab Q Model Units "&amp;RawMaterials[[#This Row],[Lab Quote Count]]&amp;"]]"))),"")</f>
        <v/>
      </c>
      <c r="AG90" s="367" t="str">
        <f ca="1">IF(RawMaterials[[#This Row],[Lab Quote Count]]&gt;1,INTERCEPT(LOG(INDIRECT("RawMaterials[@[Lab Unit P 1]:[Lab Unit P "&amp;RawMaterials[[#This Row],[Lab Quote Count]]&amp;"]]")),LOG(INDIRECT("RawMaterials[@[Lab Q Model Units 1]:[Lab Q Model Units "&amp;RawMaterials[[#This Row],[Lab Quote Count]]&amp;"]]"))),"")</f>
        <v/>
      </c>
      <c r="AH90" s="368" t="str">
        <f>IF(RawMaterials[[#This Row],[Material Type]]="Metal Precursor","D13",IF(RawMaterials[[#This Row],[Material Type]]="Ligand","D13","D12"))</f>
        <v>D12</v>
      </c>
      <c r="AI90" s="369" t="str">
        <f ca="1">IF(RawMaterials[[#This Row],[Lab Quote Count]]&gt;1,10^RawMaterials[[#This Row],[Lab Log-Log Intercept]]*INDIRECT(RawMaterials[[#This Row],[Basis Cell]])^RawMaterials[[#This Row],[Lab Log-Log Slope]],"&gt;&gt;&gt; Enter 2 or more lab quotes &lt;&lt;&lt;")</f>
        <v>&gt;&gt;&gt; Enter 2 or more lab quotes &lt;&lt;&lt;</v>
      </c>
      <c r="AJ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90" s="372">
        <f>IF(ISTEXT(RawMaterials[[#This Row],[Unit price in quote year]]),"Check calcs",RawMaterials[[#This Row],[Unit price in quote year]]/VLOOKUP(RawMaterials[[#This Row],[Quote Year]],ChemPPI[],14,FALSE)*VLOOKUP(BasisYear,ChemPPI[],14,FALSE))</f>
        <v>0.94804162862881158</v>
      </c>
      <c r="AM90" s="373" t="str">
        <f t="shared" si="1"/>
        <v>$/lb (2016)</v>
      </c>
    </row>
    <row r="91" spans="1:39">
      <c r="A91" s="263" t="s">
        <v>1198</v>
      </c>
      <c r="B91" s="264"/>
      <c r="C91" s="271"/>
      <c r="D91" s="365"/>
      <c r="E91" s="264">
        <v>100</v>
      </c>
      <c r="F91" s="264"/>
      <c r="G91" s="271"/>
      <c r="H91" s="271"/>
      <c r="I91" s="268"/>
      <c r="J91" s="271"/>
      <c r="K91" s="271"/>
      <c r="L91" s="271"/>
      <c r="M91" s="271"/>
      <c r="N91" s="271"/>
      <c r="O91" s="271"/>
      <c r="P91" s="265">
        <v>0.69499999999999995</v>
      </c>
      <c r="Q91" s="264">
        <v>1</v>
      </c>
      <c r="R91" s="264" t="s">
        <v>20</v>
      </c>
      <c r="S91" s="264">
        <v>2008</v>
      </c>
      <c r="T91" s="266" t="s">
        <v>163</v>
      </c>
      <c r="U91" s="267">
        <v>42653</v>
      </c>
      <c r="V91" s="269"/>
      <c r="W91" s="366">
        <f>COUNT(RawMaterials[[#This Row],[Lab Quantity 1]:[Lab Quantity 4]])</f>
        <v>0</v>
      </c>
      <c r="X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1" s="367" t="e">
        <f>RawMaterials[[#This Row],[Lab Price 1]]/RawMaterials[[#This Row],[Lab Q Model Units 1]]</f>
        <v>#N/A</v>
      </c>
      <c r="AC91" s="367" t="e">
        <f>RawMaterials[[#This Row],[Lab Price 2]]/RawMaterials[[#This Row],[Lab Q Model Units 2]]</f>
        <v>#N/A</v>
      </c>
      <c r="AD91" s="367" t="e">
        <f>RawMaterials[[#This Row],[Lab Price 3]]/RawMaterials[[#This Row],[Lab Q Model Units 3]]</f>
        <v>#N/A</v>
      </c>
      <c r="AE91" s="367" t="e">
        <f>RawMaterials[[#This Row],[Lab Price 4]]/RawMaterials[[#This Row],[Lab Q Model Units 4]]</f>
        <v>#N/A</v>
      </c>
      <c r="AF91" s="367" t="str">
        <f ca="1">IF(RawMaterials[[#This Row],[Lab Quote Count]]&gt;1,SLOPE(LOG(INDIRECT("RawMaterials[@[Lab Unit P 1]:[Lab Unit P "&amp;RawMaterials[[#This Row],[Lab Quote Count]]&amp;"]]")),LOG(INDIRECT("RawMaterials[@[Lab Q Model Units 1]:[Lab Q Model Units "&amp;RawMaterials[[#This Row],[Lab Quote Count]]&amp;"]]"))),"")</f>
        <v/>
      </c>
      <c r="AG91" s="367" t="str">
        <f ca="1">IF(RawMaterials[[#This Row],[Lab Quote Count]]&gt;1,INTERCEPT(LOG(INDIRECT("RawMaterials[@[Lab Unit P 1]:[Lab Unit P "&amp;RawMaterials[[#This Row],[Lab Quote Count]]&amp;"]]")),LOG(INDIRECT("RawMaterials[@[Lab Q Model Units 1]:[Lab Q Model Units "&amp;RawMaterials[[#This Row],[Lab Quote Count]]&amp;"]]"))),"")</f>
        <v/>
      </c>
      <c r="AH91" s="368" t="str">
        <f>IF(RawMaterials[[#This Row],[Material Type]]="Metal Precursor","D13",IF(RawMaterials[[#This Row],[Material Type]]="Ligand","D13","D12"))</f>
        <v>D12</v>
      </c>
      <c r="AI91" s="369" t="str">
        <f ca="1">IF(RawMaterials[[#This Row],[Lab Quote Count]]&gt;1,10^RawMaterials[[#This Row],[Lab Log-Log Intercept]]*INDIRECT(RawMaterials[[#This Row],[Basis Cell]])^RawMaterials[[#This Row],[Lab Log-Log Slope]],"&gt;&gt;&gt; Enter 2 or more lab quotes &lt;&lt;&lt;")</f>
        <v>&gt;&gt;&gt; Enter 2 or more lab quotes &lt;&lt;&lt;</v>
      </c>
      <c r="AJ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0.69499999999999995</v>
      </c>
      <c r="AL91" s="372">
        <f>IF(ISTEXT(RawMaterials[[#This Row],[Unit price in quote year]]),"Check calcs",RawMaterials[[#This Row],[Unit price in quote year]]/VLOOKUP(RawMaterials[[#This Row],[Quote Year]],ChemPPI[],14,FALSE)*VLOOKUP(BasisYear,ChemPPI[],14,FALSE))</f>
        <v>0.81344312579879496</v>
      </c>
      <c r="AM91" s="373" t="str">
        <f t="shared" si="1"/>
        <v>$/lb (2016)</v>
      </c>
    </row>
    <row r="92" spans="1:39">
      <c r="A92" s="263" t="s">
        <v>1199</v>
      </c>
      <c r="B92" s="264"/>
      <c r="C92" s="271"/>
      <c r="D92" s="365"/>
      <c r="E92" s="264">
        <v>100</v>
      </c>
      <c r="F92" s="264"/>
      <c r="G92" s="271"/>
      <c r="H92" s="271"/>
      <c r="I92" s="268"/>
      <c r="J92" s="271"/>
      <c r="K92" s="271"/>
      <c r="L92" s="271"/>
      <c r="M92" s="271"/>
      <c r="N92" s="271"/>
      <c r="O92" s="271"/>
      <c r="P92" s="265">
        <v>0.56000000000000005</v>
      </c>
      <c r="Q92" s="264">
        <v>1</v>
      </c>
      <c r="R92" s="264" t="s">
        <v>20</v>
      </c>
      <c r="S92" s="264">
        <v>2006</v>
      </c>
      <c r="T92" s="266" t="s">
        <v>163</v>
      </c>
      <c r="U92" s="267">
        <v>42653</v>
      </c>
      <c r="V92" s="269"/>
      <c r="W92" s="366">
        <f>COUNT(RawMaterials[[#This Row],[Lab Quantity 1]:[Lab Quantity 4]])</f>
        <v>0</v>
      </c>
      <c r="X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2" s="367" t="e">
        <f>RawMaterials[[#This Row],[Lab Price 1]]/RawMaterials[[#This Row],[Lab Q Model Units 1]]</f>
        <v>#N/A</v>
      </c>
      <c r="AC92" s="367" t="e">
        <f>RawMaterials[[#This Row],[Lab Price 2]]/RawMaterials[[#This Row],[Lab Q Model Units 2]]</f>
        <v>#N/A</v>
      </c>
      <c r="AD92" s="367" t="e">
        <f>RawMaterials[[#This Row],[Lab Price 3]]/RawMaterials[[#This Row],[Lab Q Model Units 3]]</f>
        <v>#N/A</v>
      </c>
      <c r="AE92" s="367" t="e">
        <f>RawMaterials[[#This Row],[Lab Price 4]]/RawMaterials[[#This Row],[Lab Q Model Units 4]]</f>
        <v>#N/A</v>
      </c>
      <c r="AF92" s="367" t="str">
        <f ca="1">IF(RawMaterials[[#This Row],[Lab Quote Count]]&gt;1,SLOPE(LOG(INDIRECT("RawMaterials[@[Lab Unit P 1]:[Lab Unit P "&amp;RawMaterials[[#This Row],[Lab Quote Count]]&amp;"]]")),LOG(INDIRECT("RawMaterials[@[Lab Q Model Units 1]:[Lab Q Model Units "&amp;RawMaterials[[#This Row],[Lab Quote Count]]&amp;"]]"))),"")</f>
        <v/>
      </c>
      <c r="AG92" s="367" t="str">
        <f ca="1">IF(RawMaterials[[#This Row],[Lab Quote Count]]&gt;1,INTERCEPT(LOG(INDIRECT("RawMaterials[@[Lab Unit P 1]:[Lab Unit P "&amp;RawMaterials[[#This Row],[Lab Quote Count]]&amp;"]]")),LOG(INDIRECT("RawMaterials[@[Lab Q Model Units 1]:[Lab Q Model Units "&amp;RawMaterials[[#This Row],[Lab Quote Count]]&amp;"]]"))),"")</f>
        <v/>
      </c>
      <c r="AH92" s="368" t="str">
        <f>IF(RawMaterials[[#This Row],[Material Type]]="Metal Precursor","D13",IF(RawMaterials[[#This Row],[Material Type]]="Ligand","D13","D12"))</f>
        <v>D12</v>
      </c>
      <c r="AI92" s="369" t="str">
        <f ca="1">IF(RawMaterials[[#This Row],[Lab Quote Count]]&gt;1,10^RawMaterials[[#This Row],[Lab Log-Log Intercept]]*INDIRECT(RawMaterials[[#This Row],[Basis Cell]])^RawMaterials[[#This Row],[Lab Log-Log Slope]],"&gt;&gt;&gt; Enter 2 or more lab quotes &lt;&lt;&lt;")</f>
        <v>&gt;&gt;&gt; Enter 2 or more lab quotes &lt;&lt;&lt;</v>
      </c>
      <c r="AJ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92" s="372">
        <f>IF(ISTEXT(RawMaterials[[#This Row],[Unit price in quote year]]),"Check calcs",RawMaterials[[#This Row],[Unit price in quote year]]/VLOOKUP(RawMaterials[[#This Row],[Quote Year]],ChemPPI[],14,FALSE)*VLOOKUP(BasisYear,ChemPPI[],14,FALSE))</f>
        <v>0.76004065040650426</v>
      </c>
      <c r="AM92" s="373" t="str">
        <f t="shared" si="1"/>
        <v>$/lb (2016)</v>
      </c>
    </row>
    <row r="93" spans="1:39">
      <c r="A93" s="263" t="s">
        <v>1200</v>
      </c>
      <c r="B93" s="264"/>
      <c r="C93" s="271"/>
      <c r="D93" s="365"/>
      <c r="E93" s="264">
        <v>100</v>
      </c>
      <c r="F93" s="264"/>
      <c r="G93" s="271"/>
      <c r="H93" s="271"/>
      <c r="I93" s="268"/>
      <c r="J93" s="271"/>
      <c r="K93" s="271"/>
      <c r="L93" s="271"/>
      <c r="M93" s="271"/>
      <c r="N93" s="271"/>
      <c r="O93" s="271"/>
      <c r="P93" s="265">
        <v>510</v>
      </c>
      <c r="Q93" s="264">
        <v>1</v>
      </c>
      <c r="R93" s="264" t="s">
        <v>406</v>
      </c>
      <c r="S93" s="264">
        <v>2006</v>
      </c>
      <c r="T93" s="266" t="s">
        <v>163</v>
      </c>
      <c r="U93" s="267">
        <v>42653</v>
      </c>
      <c r="V93" s="269"/>
      <c r="W93" s="366">
        <f>COUNT(RawMaterials[[#This Row],[Lab Quantity 1]:[Lab Quantity 4]])</f>
        <v>0</v>
      </c>
      <c r="X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3" s="367" t="e">
        <f>RawMaterials[[#This Row],[Lab Price 1]]/RawMaterials[[#This Row],[Lab Q Model Units 1]]</f>
        <v>#N/A</v>
      </c>
      <c r="AC93" s="367" t="e">
        <f>RawMaterials[[#This Row],[Lab Price 2]]/RawMaterials[[#This Row],[Lab Q Model Units 2]]</f>
        <v>#N/A</v>
      </c>
      <c r="AD93" s="367" t="e">
        <f>RawMaterials[[#This Row],[Lab Price 3]]/RawMaterials[[#This Row],[Lab Q Model Units 3]]</f>
        <v>#N/A</v>
      </c>
      <c r="AE93" s="367" t="e">
        <f>RawMaterials[[#This Row],[Lab Price 4]]/RawMaterials[[#This Row],[Lab Q Model Units 4]]</f>
        <v>#N/A</v>
      </c>
      <c r="AF93" s="367" t="str">
        <f ca="1">IF(RawMaterials[[#This Row],[Lab Quote Count]]&gt;1,SLOPE(LOG(INDIRECT("RawMaterials[@[Lab Unit P 1]:[Lab Unit P "&amp;RawMaterials[[#This Row],[Lab Quote Count]]&amp;"]]")),LOG(INDIRECT("RawMaterials[@[Lab Q Model Units 1]:[Lab Q Model Units "&amp;RawMaterials[[#This Row],[Lab Quote Count]]&amp;"]]"))),"")</f>
        <v/>
      </c>
      <c r="AG93" s="367" t="str">
        <f ca="1">IF(RawMaterials[[#This Row],[Lab Quote Count]]&gt;1,INTERCEPT(LOG(INDIRECT("RawMaterials[@[Lab Unit P 1]:[Lab Unit P "&amp;RawMaterials[[#This Row],[Lab Quote Count]]&amp;"]]")),LOG(INDIRECT("RawMaterials[@[Lab Q Model Units 1]:[Lab Q Model Units "&amp;RawMaterials[[#This Row],[Lab Quote Count]]&amp;"]]"))),"")</f>
        <v/>
      </c>
      <c r="AH93" s="368" t="str">
        <f>IF(RawMaterials[[#This Row],[Material Type]]="Metal Precursor","D13",IF(RawMaterials[[#This Row],[Material Type]]="Ligand","D13","D12"))</f>
        <v>D12</v>
      </c>
      <c r="AI93" s="369" t="str">
        <f ca="1">IF(RawMaterials[[#This Row],[Lab Quote Count]]&gt;1,10^RawMaterials[[#This Row],[Lab Log-Log Intercept]]*INDIRECT(RawMaterials[[#This Row],[Basis Cell]])^RawMaterials[[#This Row],[Lab Log-Log Slope]],"&gt;&gt;&gt; Enter 2 or more lab quotes &lt;&lt;&lt;")</f>
        <v>&gt;&gt;&gt; Enter 2 or more lab quotes &lt;&lt;&lt;</v>
      </c>
      <c r="AJ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0.255</v>
      </c>
      <c r="AL93" s="372">
        <f>IF(ISTEXT(RawMaterials[[#This Row],[Unit price in quote year]]),"Check calcs",RawMaterials[[#This Row],[Unit price in quote year]]/VLOOKUP(RawMaterials[[#This Row],[Quote Year]],ChemPPI[],14,FALSE)*VLOOKUP(BasisYear,ChemPPI[],14,FALSE))</f>
        <v>0.34608993902439028</v>
      </c>
      <c r="AM93" s="373" t="str">
        <f t="shared" si="1"/>
        <v>$/lb (2016)</v>
      </c>
    </row>
    <row r="94" spans="1:39">
      <c r="A94" s="263" t="s">
        <v>1201</v>
      </c>
      <c r="B94" s="264"/>
      <c r="C94" s="271"/>
      <c r="D94" s="365"/>
      <c r="E94" s="264">
        <v>100</v>
      </c>
      <c r="F94" s="264"/>
      <c r="G94" s="271"/>
      <c r="H94" s="271"/>
      <c r="I94" s="268"/>
      <c r="J94" s="271"/>
      <c r="K94" s="271"/>
      <c r="L94" s="271"/>
      <c r="M94" s="271"/>
      <c r="N94" s="271"/>
      <c r="O94" s="271"/>
      <c r="P94" s="265">
        <v>63</v>
      </c>
      <c r="Q94" s="264">
        <v>1</v>
      </c>
      <c r="R94" s="264" t="s">
        <v>406</v>
      </c>
      <c r="S94" s="264">
        <v>2006</v>
      </c>
      <c r="T94" s="266" t="s">
        <v>163</v>
      </c>
      <c r="U94" s="267">
        <v>42653</v>
      </c>
      <c r="V94" s="269"/>
      <c r="W94" s="366">
        <f>COUNT(RawMaterials[[#This Row],[Lab Quantity 1]:[Lab Quantity 4]])</f>
        <v>0</v>
      </c>
      <c r="X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4" s="367" t="e">
        <f>RawMaterials[[#This Row],[Lab Price 1]]/RawMaterials[[#This Row],[Lab Q Model Units 1]]</f>
        <v>#N/A</v>
      </c>
      <c r="AC94" s="367" t="e">
        <f>RawMaterials[[#This Row],[Lab Price 2]]/RawMaterials[[#This Row],[Lab Q Model Units 2]]</f>
        <v>#N/A</v>
      </c>
      <c r="AD94" s="367" t="e">
        <f>RawMaterials[[#This Row],[Lab Price 3]]/RawMaterials[[#This Row],[Lab Q Model Units 3]]</f>
        <v>#N/A</v>
      </c>
      <c r="AE94" s="367" t="e">
        <f>RawMaterials[[#This Row],[Lab Price 4]]/RawMaterials[[#This Row],[Lab Q Model Units 4]]</f>
        <v>#N/A</v>
      </c>
      <c r="AF94" s="367" t="str">
        <f ca="1">IF(RawMaterials[[#This Row],[Lab Quote Count]]&gt;1,SLOPE(LOG(INDIRECT("RawMaterials[@[Lab Unit P 1]:[Lab Unit P "&amp;RawMaterials[[#This Row],[Lab Quote Count]]&amp;"]]")),LOG(INDIRECT("RawMaterials[@[Lab Q Model Units 1]:[Lab Q Model Units "&amp;RawMaterials[[#This Row],[Lab Quote Count]]&amp;"]]"))),"")</f>
        <v/>
      </c>
      <c r="AG94" s="367" t="str">
        <f ca="1">IF(RawMaterials[[#This Row],[Lab Quote Count]]&gt;1,INTERCEPT(LOG(INDIRECT("RawMaterials[@[Lab Unit P 1]:[Lab Unit P "&amp;RawMaterials[[#This Row],[Lab Quote Count]]&amp;"]]")),LOG(INDIRECT("RawMaterials[@[Lab Q Model Units 1]:[Lab Q Model Units "&amp;RawMaterials[[#This Row],[Lab Quote Count]]&amp;"]]"))),"")</f>
        <v/>
      </c>
      <c r="AH94" s="368" t="str">
        <f>IF(RawMaterials[[#This Row],[Material Type]]="Metal Precursor","D13",IF(RawMaterials[[#This Row],[Material Type]]="Ligand","D13","D12"))</f>
        <v>D12</v>
      </c>
      <c r="AI94" s="369" t="str">
        <f ca="1">IF(RawMaterials[[#This Row],[Lab Quote Count]]&gt;1,10^RawMaterials[[#This Row],[Lab Log-Log Intercept]]*INDIRECT(RawMaterials[[#This Row],[Basis Cell]])^RawMaterials[[#This Row],[Lab Log-Log Slope]],"&gt;&gt;&gt; Enter 2 or more lab quotes &lt;&lt;&lt;")</f>
        <v>&gt;&gt;&gt; Enter 2 or more lab quotes &lt;&lt;&lt;</v>
      </c>
      <c r="AJ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3.15E-2</v>
      </c>
      <c r="AL94" s="372">
        <f>IF(ISTEXT(RawMaterials[[#This Row],[Unit price in quote year]]),"Check calcs",RawMaterials[[#This Row],[Unit price in quote year]]/VLOOKUP(RawMaterials[[#This Row],[Quote Year]],ChemPPI[],14,FALSE)*VLOOKUP(BasisYear,ChemPPI[],14,FALSE))</f>
        <v>4.275228658536586E-2</v>
      </c>
      <c r="AM94" s="373" t="str">
        <f t="shared" si="1"/>
        <v>$/lb (2016)</v>
      </c>
    </row>
    <row r="95" spans="1:39">
      <c r="A95" s="263" t="s">
        <v>1202</v>
      </c>
      <c r="B95" s="264"/>
      <c r="C95" s="271"/>
      <c r="D95" s="365"/>
      <c r="E95" s="264">
        <v>100</v>
      </c>
      <c r="F95" s="264"/>
      <c r="G95" s="271"/>
      <c r="H95" s="271"/>
      <c r="I95" s="268"/>
      <c r="J95" s="271"/>
      <c r="K95" s="271"/>
      <c r="L95" s="271"/>
      <c r="M95" s="271"/>
      <c r="N95" s="271"/>
      <c r="O95" s="271"/>
      <c r="P95" s="265">
        <v>255</v>
      </c>
      <c r="Q95" s="264">
        <v>1</v>
      </c>
      <c r="R95" s="264" t="s">
        <v>406</v>
      </c>
      <c r="S95" s="264">
        <v>2006</v>
      </c>
      <c r="T95" s="266" t="s">
        <v>163</v>
      </c>
      <c r="U95" s="267">
        <v>42653</v>
      </c>
      <c r="V95" s="269"/>
      <c r="W95" s="366">
        <f>COUNT(RawMaterials[[#This Row],[Lab Quantity 1]:[Lab Quantity 4]])</f>
        <v>0</v>
      </c>
      <c r="X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5" s="367" t="e">
        <f>RawMaterials[[#This Row],[Lab Price 1]]/RawMaterials[[#This Row],[Lab Q Model Units 1]]</f>
        <v>#N/A</v>
      </c>
      <c r="AC95" s="367" t="e">
        <f>RawMaterials[[#This Row],[Lab Price 2]]/RawMaterials[[#This Row],[Lab Q Model Units 2]]</f>
        <v>#N/A</v>
      </c>
      <c r="AD95" s="367" t="e">
        <f>RawMaterials[[#This Row],[Lab Price 3]]/RawMaterials[[#This Row],[Lab Q Model Units 3]]</f>
        <v>#N/A</v>
      </c>
      <c r="AE95" s="367" t="e">
        <f>RawMaterials[[#This Row],[Lab Price 4]]/RawMaterials[[#This Row],[Lab Q Model Units 4]]</f>
        <v>#N/A</v>
      </c>
      <c r="AF95" s="367" t="str">
        <f ca="1">IF(RawMaterials[[#This Row],[Lab Quote Count]]&gt;1,SLOPE(LOG(INDIRECT("RawMaterials[@[Lab Unit P 1]:[Lab Unit P "&amp;RawMaterials[[#This Row],[Lab Quote Count]]&amp;"]]")),LOG(INDIRECT("RawMaterials[@[Lab Q Model Units 1]:[Lab Q Model Units "&amp;RawMaterials[[#This Row],[Lab Quote Count]]&amp;"]]"))),"")</f>
        <v/>
      </c>
      <c r="AG95" s="367" t="str">
        <f ca="1">IF(RawMaterials[[#This Row],[Lab Quote Count]]&gt;1,INTERCEPT(LOG(INDIRECT("RawMaterials[@[Lab Unit P 1]:[Lab Unit P "&amp;RawMaterials[[#This Row],[Lab Quote Count]]&amp;"]]")),LOG(INDIRECT("RawMaterials[@[Lab Q Model Units 1]:[Lab Q Model Units "&amp;RawMaterials[[#This Row],[Lab Quote Count]]&amp;"]]"))),"")</f>
        <v/>
      </c>
      <c r="AH95" s="368" t="str">
        <f>IF(RawMaterials[[#This Row],[Material Type]]="Metal Precursor","D13",IF(RawMaterials[[#This Row],[Material Type]]="Ligand","D13","D12"))</f>
        <v>D12</v>
      </c>
      <c r="AI95" s="369" t="str">
        <f ca="1">IF(RawMaterials[[#This Row],[Lab Quote Count]]&gt;1,10^RawMaterials[[#This Row],[Lab Log-Log Intercept]]*INDIRECT(RawMaterials[[#This Row],[Basis Cell]])^RawMaterials[[#This Row],[Lab Log-Log Slope]],"&gt;&gt;&gt; Enter 2 or more lab quotes &lt;&lt;&lt;")</f>
        <v>&gt;&gt;&gt; Enter 2 or more lab quotes &lt;&lt;&lt;</v>
      </c>
      <c r="AJ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0.1275</v>
      </c>
      <c r="AL95" s="372">
        <f>IF(ISTEXT(RawMaterials[[#This Row],[Unit price in quote year]]),"Check calcs",RawMaterials[[#This Row],[Unit price in quote year]]/VLOOKUP(RawMaterials[[#This Row],[Quote Year]],ChemPPI[],14,FALSE)*VLOOKUP(BasisYear,ChemPPI[],14,FALSE))</f>
        <v>0.17304496951219514</v>
      </c>
      <c r="AM95" s="373" t="str">
        <f t="shared" si="1"/>
        <v>$/lb (2016)</v>
      </c>
    </row>
    <row r="96" spans="1:39">
      <c r="A96" s="263" t="s">
        <v>1203</v>
      </c>
      <c r="B96" s="264"/>
      <c r="C96" s="271"/>
      <c r="D96" s="365"/>
      <c r="E96" s="264">
        <v>100</v>
      </c>
      <c r="F96" s="264"/>
      <c r="G96" s="271"/>
      <c r="H96" s="271"/>
      <c r="I96" s="268"/>
      <c r="J96" s="271"/>
      <c r="K96" s="271"/>
      <c r="L96" s="271"/>
      <c r="M96" s="271"/>
      <c r="N96" s="271"/>
      <c r="O96" s="271"/>
      <c r="P96" s="265">
        <v>97.5</v>
      </c>
      <c r="Q96" s="264">
        <v>1</v>
      </c>
      <c r="R96" s="264" t="s">
        <v>406</v>
      </c>
      <c r="S96" s="264">
        <v>2006</v>
      </c>
      <c r="T96" s="266" t="s">
        <v>163</v>
      </c>
      <c r="U96" s="267">
        <v>42653</v>
      </c>
      <c r="V96" s="269"/>
      <c r="W96" s="366">
        <f>COUNT(RawMaterials[[#This Row],[Lab Quantity 1]:[Lab Quantity 4]])</f>
        <v>0</v>
      </c>
      <c r="X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6" s="367" t="e">
        <f>RawMaterials[[#This Row],[Lab Price 1]]/RawMaterials[[#This Row],[Lab Q Model Units 1]]</f>
        <v>#N/A</v>
      </c>
      <c r="AC96" s="367" t="e">
        <f>RawMaterials[[#This Row],[Lab Price 2]]/RawMaterials[[#This Row],[Lab Q Model Units 2]]</f>
        <v>#N/A</v>
      </c>
      <c r="AD96" s="367" t="e">
        <f>RawMaterials[[#This Row],[Lab Price 3]]/RawMaterials[[#This Row],[Lab Q Model Units 3]]</f>
        <v>#N/A</v>
      </c>
      <c r="AE96" s="367" t="e">
        <f>RawMaterials[[#This Row],[Lab Price 4]]/RawMaterials[[#This Row],[Lab Q Model Units 4]]</f>
        <v>#N/A</v>
      </c>
      <c r="AF96" s="367" t="str">
        <f ca="1">IF(RawMaterials[[#This Row],[Lab Quote Count]]&gt;1,SLOPE(LOG(INDIRECT("RawMaterials[@[Lab Unit P 1]:[Lab Unit P "&amp;RawMaterials[[#This Row],[Lab Quote Count]]&amp;"]]")),LOG(INDIRECT("RawMaterials[@[Lab Q Model Units 1]:[Lab Q Model Units "&amp;RawMaterials[[#This Row],[Lab Quote Count]]&amp;"]]"))),"")</f>
        <v/>
      </c>
      <c r="AG96" s="367" t="str">
        <f ca="1">IF(RawMaterials[[#This Row],[Lab Quote Count]]&gt;1,INTERCEPT(LOG(INDIRECT("RawMaterials[@[Lab Unit P 1]:[Lab Unit P "&amp;RawMaterials[[#This Row],[Lab Quote Count]]&amp;"]]")),LOG(INDIRECT("RawMaterials[@[Lab Q Model Units 1]:[Lab Q Model Units "&amp;RawMaterials[[#This Row],[Lab Quote Count]]&amp;"]]"))),"")</f>
        <v/>
      </c>
      <c r="AH96" s="368" t="str">
        <f>IF(RawMaterials[[#This Row],[Material Type]]="Metal Precursor","D13",IF(RawMaterials[[#This Row],[Material Type]]="Ligand","D13","D12"))</f>
        <v>D12</v>
      </c>
      <c r="AI96" s="369" t="str">
        <f ca="1">IF(RawMaterials[[#This Row],[Lab Quote Count]]&gt;1,10^RawMaterials[[#This Row],[Lab Log-Log Intercept]]*INDIRECT(RawMaterials[[#This Row],[Basis Cell]])^RawMaterials[[#This Row],[Lab Log-Log Slope]],"&gt;&gt;&gt; Enter 2 or more lab quotes &lt;&lt;&lt;")</f>
        <v>&gt;&gt;&gt; Enter 2 or more lab quotes &lt;&lt;&lt;</v>
      </c>
      <c r="AJ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96" s="372">
        <f>IF(ISTEXT(RawMaterials[[#This Row],[Unit price in quote year]]),"Check calcs",RawMaterials[[#This Row],[Unit price in quote year]]/VLOOKUP(RawMaterials[[#This Row],[Quote Year]],ChemPPI[],14,FALSE)*VLOOKUP(BasisYear,ChemPPI[],14,FALSE))</f>
        <v>6.61642530487805E-2</v>
      </c>
      <c r="AM96" s="373" t="str">
        <f t="shared" si="1"/>
        <v>$/lb (2016)</v>
      </c>
    </row>
    <row r="97" spans="1:39">
      <c r="A97" s="263" t="s">
        <v>1204</v>
      </c>
      <c r="B97" s="264"/>
      <c r="C97" s="271"/>
      <c r="D97" s="365"/>
      <c r="E97" s="264">
        <v>100</v>
      </c>
      <c r="F97" s="264"/>
      <c r="G97" s="271"/>
      <c r="H97" s="271"/>
      <c r="I97" s="268"/>
      <c r="J97" s="271"/>
      <c r="K97" s="271"/>
      <c r="L97" s="271"/>
      <c r="M97" s="271"/>
      <c r="N97" s="271"/>
      <c r="O97" s="271"/>
      <c r="P97" s="265">
        <v>307</v>
      </c>
      <c r="Q97" s="264">
        <v>1</v>
      </c>
      <c r="R97" s="264" t="s">
        <v>406</v>
      </c>
      <c r="S97" s="264">
        <v>2006</v>
      </c>
      <c r="T97" s="266" t="s">
        <v>163</v>
      </c>
      <c r="U97" s="267">
        <v>42653</v>
      </c>
      <c r="V97" s="269"/>
      <c r="W97" s="366">
        <f>COUNT(RawMaterials[[#This Row],[Lab Quantity 1]:[Lab Quantity 4]])</f>
        <v>0</v>
      </c>
      <c r="X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7" s="367" t="e">
        <f>RawMaterials[[#This Row],[Lab Price 1]]/RawMaterials[[#This Row],[Lab Q Model Units 1]]</f>
        <v>#N/A</v>
      </c>
      <c r="AC97" s="367" t="e">
        <f>RawMaterials[[#This Row],[Lab Price 2]]/RawMaterials[[#This Row],[Lab Q Model Units 2]]</f>
        <v>#N/A</v>
      </c>
      <c r="AD97" s="367" t="e">
        <f>RawMaterials[[#This Row],[Lab Price 3]]/RawMaterials[[#This Row],[Lab Q Model Units 3]]</f>
        <v>#N/A</v>
      </c>
      <c r="AE97" s="367" t="e">
        <f>RawMaterials[[#This Row],[Lab Price 4]]/RawMaterials[[#This Row],[Lab Q Model Units 4]]</f>
        <v>#N/A</v>
      </c>
      <c r="AF97" s="367" t="str">
        <f ca="1">IF(RawMaterials[[#This Row],[Lab Quote Count]]&gt;1,SLOPE(LOG(INDIRECT("RawMaterials[@[Lab Unit P 1]:[Lab Unit P "&amp;RawMaterials[[#This Row],[Lab Quote Count]]&amp;"]]")),LOG(INDIRECT("RawMaterials[@[Lab Q Model Units 1]:[Lab Q Model Units "&amp;RawMaterials[[#This Row],[Lab Quote Count]]&amp;"]]"))),"")</f>
        <v/>
      </c>
      <c r="AG97" s="367" t="str">
        <f ca="1">IF(RawMaterials[[#This Row],[Lab Quote Count]]&gt;1,INTERCEPT(LOG(INDIRECT("RawMaterials[@[Lab Unit P 1]:[Lab Unit P "&amp;RawMaterials[[#This Row],[Lab Quote Count]]&amp;"]]")),LOG(INDIRECT("RawMaterials[@[Lab Q Model Units 1]:[Lab Q Model Units "&amp;RawMaterials[[#This Row],[Lab Quote Count]]&amp;"]]"))),"")</f>
        <v/>
      </c>
      <c r="AH97" s="368" t="str">
        <f>IF(RawMaterials[[#This Row],[Material Type]]="Metal Precursor","D13",IF(RawMaterials[[#This Row],[Material Type]]="Ligand","D13","D12"))</f>
        <v>D12</v>
      </c>
      <c r="AI97" s="369" t="str">
        <f ca="1">IF(RawMaterials[[#This Row],[Lab Quote Count]]&gt;1,10^RawMaterials[[#This Row],[Lab Log-Log Intercept]]*INDIRECT(RawMaterials[[#This Row],[Basis Cell]])^RawMaterials[[#This Row],[Lab Log-Log Slope]],"&gt;&gt;&gt; Enter 2 or more lab quotes &lt;&lt;&lt;")</f>
        <v>&gt;&gt;&gt; Enter 2 or more lab quotes &lt;&lt;&lt;</v>
      </c>
      <c r="AJ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0.1535</v>
      </c>
      <c r="AL97" s="372">
        <f>IF(ISTEXT(RawMaterials[[#This Row],[Unit price in quote year]]),"Check calcs",RawMaterials[[#This Row],[Unit price in quote year]]/VLOOKUP(RawMaterials[[#This Row],[Quote Year]],ChemPPI[],14,FALSE)*VLOOKUP(BasisYear,ChemPPI[],14,FALSE))</f>
        <v>0.20833257113821141</v>
      </c>
      <c r="AM97" s="373" t="str">
        <f t="shared" si="1"/>
        <v>$/lb (2016)</v>
      </c>
    </row>
    <row r="98" spans="1:39">
      <c r="A98" s="263" t="s">
        <v>1205</v>
      </c>
      <c r="B98" s="264"/>
      <c r="C98" s="271"/>
      <c r="D98" s="365"/>
      <c r="E98" s="264">
        <v>100</v>
      </c>
      <c r="F98" s="264"/>
      <c r="G98" s="271"/>
      <c r="H98" s="271"/>
      <c r="I98" s="268"/>
      <c r="J98" s="271"/>
      <c r="K98" s="271"/>
      <c r="L98" s="271"/>
      <c r="M98" s="271"/>
      <c r="N98" s="271"/>
      <c r="O98" s="271"/>
      <c r="P98" s="265">
        <v>0.2</v>
      </c>
      <c r="Q98" s="264">
        <v>1</v>
      </c>
      <c r="R98" s="264" t="s">
        <v>20</v>
      </c>
      <c r="S98" s="264">
        <v>2006</v>
      </c>
      <c r="T98" s="266" t="s">
        <v>163</v>
      </c>
      <c r="U98" s="267">
        <v>42653</v>
      </c>
      <c r="V98" s="269"/>
      <c r="W98" s="366">
        <f>COUNT(RawMaterials[[#This Row],[Lab Quantity 1]:[Lab Quantity 4]])</f>
        <v>0</v>
      </c>
      <c r="X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8" s="367" t="e">
        <f>RawMaterials[[#This Row],[Lab Price 1]]/RawMaterials[[#This Row],[Lab Q Model Units 1]]</f>
        <v>#N/A</v>
      </c>
      <c r="AC98" s="367" t="e">
        <f>RawMaterials[[#This Row],[Lab Price 2]]/RawMaterials[[#This Row],[Lab Q Model Units 2]]</f>
        <v>#N/A</v>
      </c>
      <c r="AD98" s="367" t="e">
        <f>RawMaterials[[#This Row],[Lab Price 3]]/RawMaterials[[#This Row],[Lab Q Model Units 3]]</f>
        <v>#N/A</v>
      </c>
      <c r="AE98" s="367" t="e">
        <f>RawMaterials[[#This Row],[Lab Price 4]]/RawMaterials[[#This Row],[Lab Q Model Units 4]]</f>
        <v>#N/A</v>
      </c>
      <c r="AF98" s="367" t="str">
        <f ca="1">IF(RawMaterials[[#This Row],[Lab Quote Count]]&gt;1,SLOPE(LOG(INDIRECT("RawMaterials[@[Lab Unit P 1]:[Lab Unit P "&amp;RawMaterials[[#This Row],[Lab Quote Count]]&amp;"]]")),LOG(INDIRECT("RawMaterials[@[Lab Q Model Units 1]:[Lab Q Model Units "&amp;RawMaterials[[#This Row],[Lab Quote Count]]&amp;"]]"))),"")</f>
        <v/>
      </c>
      <c r="AG98" s="367" t="str">
        <f ca="1">IF(RawMaterials[[#This Row],[Lab Quote Count]]&gt;1,INTERCEPT(LOG(INDIRECT("RawMaterials[@[Lab Unit P 1]:[Lab Unit P "&amp;RawMaterials[[#This Row],[Lab Quote Count]]&amp;"]]")),LOG(INDIRECT("RawMaterials[@[Lab Q Model Units 1]:[Lab Q Model Units "&amp;RawMaterials[[#This Row],[Lab Quote Count]]&amp;"]]"))),"")</f>
        <v/>
      </c>
      <c r="AH98" s="368" t="str">
        <f>IF(RawMaterials[[#This Row],[Material Type]]="Metal Precursor","D13",IF(RawMaterials[[#This Row],[Material Type]]="Ligand","D13","D12"))</f>
        <v>D12</v>
      </c>
      <c r="AI98" s="369" t="str">
        <f ca="1">IF(RawMaterials[[#This Row],[Lab Quote Count]]&gt;1,10^RawMaterials[[#This Row],[Lab Log-Log Intercept]]*INDIRECT(RawMaterials[[#This Row],[Basis Cell]])^RawMaterials[[#This Row],[Lab Log-Log Slope]],"&gt;&gt;&gt; Enter 2 or more lab quotes &lt;&lt;&lt;")</f>
        <v>&gt;&gt;&gt; Enter 2 or more lab quotes &lt;&lt;&lt;</v>
      </c>
      <c r="AJ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98" s="372">
        <f>IF(ISTEXT(RawMaterials[[#This Row],[Unit price in quote year]]),"Check calcs",RawMaterials[[#This Row],[Unit price in quote year]]/VLOOKUP(RawMaterials[[#This Row],[Quote Year]],ChemPPI[],14,FALSE)*VLOOKUP(BasisYear,ChemPPI[],14,FALSE))</f>
        <v>0.27144308943089435</v>
      </c>
      <c r="AM98" s="373" t="str">
        <f t="shared" si="1"/>
        <v>$/lb (2016)</v>
      </c>
    </row>
    <row r="99" spans="1:39">
      <c r="A99" s="263" t="s">
        <v>1206</v>
      </c>
      <c r="B99" s="264"/>
      <c r="C99" s="271"/>
      <c r="D99" s="365"/>
      <c r="E99" s="264">
        <v>100</v>
      </c>
      <c r="F99" s="264"/>
      <c r="G99" s="271"/>
      <c r="H99" s="271"/>
      <c r="I99" s="268"/>
      <c r="J99" s="271"/>
      <c r="K99" s="271"/>
      <c r="L99" s="271"/>
      <c r="M99" s="271"/>
      <c r="N99" s="271"/>
      <c r="O99" s="271"/>
      <c r="P99" s="265">
        <v>3.3149999999999999</v>
      </c>
      <c r="Q99" s="264">
        <v>1</v>
      </c>
      <c r="R99" s="264" t="s">
        <v>20</v>
      </c>
      <c r="S99" s="264">
        <v>2006</v>
      </c>
      <c r="T99" s="266" t="s">
        <v>163</v>
      </c>
      <c r="U99" s="267">
        <v>42653</v>
      </c>
      <c r="V99" s="269"/>
      <c r="W99" s="366">
        <f>COUNT(RawMaterials[[#This Row],[Lab Quantity 1]:[Lab Quantity 4]])</f>
        <v>0</v>
      </c>
      <c r="X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99" s="367" t="e">
        <f>RawMaterials[[#This Row],[Lab Price 1]]/RawMaterials[[#This Row],[Lab Q Model Units 1]]</f>
        <v>#N/A</v>
      </c>
      <c r="AC99" s="367" t="e">
        <f>RawMaterials[[#This Row],[Lab Price 2]]/RawMaterials[[#This Row],[Lab Q Model Units 2]]</f>
        <v>#N/A</v>
      </c>
      <c r="AD99" s="367" t="e">
        <f>RawMaterials[[#This Row],[Lab Price 3]]/RawMaterials[[#This Row],[Lab Q Model Units 3]]</f>
        <v>#N/A</v>
      </c>
      <c r="AE99" s="367" t="e">
        <f>RawMaterials[[#This Row],[Lab Price 4]]/RawMaterials[[#This Row],[Lab Q Model Units 4]]</f>
        <v>#N/A</v>
      </c>
      <c r="AF99" s="367" t="str">
        <f ca="1">IF(RawMaterials[[#This Row],[Lab Quote Count]]&gt;1,SLOPE(LOG(INDIRECT("RawMaterials[@[Lab Unit P 1]:[Lab Unit P "&amp;RawMaterials[[#This Row],[Lab Quote Count]]&amp;"]]")),LOG(INDIRECT("RawMaterials[@[Lab Q Model Units 1]:[Lab Q Model Units "&amp;RawMaterials[[#This Row],[Lab Quote Count]]&amp;"]]"))),"")</f>
        <v/>
      </c>
      <c r="AG99" s="367" t="str">
        <f ca="1">IF(RawMaterials[[#This Row],[Lab Quote Count]]&gt;1,INTERCEPT(LOG(INDIRECT("RawMaterials[@[Lab Unit P 1]:[Lab Unit P "&amp;RawMaterials[[#This Row],[Lab Quote Count]]&amp;"]]")),LOG(INDIRECT("RawMaterials[@[Lab Q Model Units 1]:[Lab Q Model Units "&amp;RawMaterials[[#This Row],[Lab Quote Count]]&amp;"]]"))),"")</f>
        <v/>
      </c>
      <c r="AH99" s="368" t="str">
        <f>IF(RawMaterials[[#This Row],[Material Type]]="Metal Precursor","D13",IF(RawMaterials[[#This Row],[Material Type]]="Ligand","D13","D12"))</f>
        <v>D12</v>
      </c>
      <c r="AI99" s="369" t="str">
        <f ca="1">IF(RawMaterials[[#This Row],[Lab Quote Count]]&gt;1,10^RawMaterials[[#This Row],[Lab Log-Log Intercept]]*INDIRECT(RawMaterials[[#This Row],[Basis Cell]])^RawMaterials[[#This Row],[Lab Log-Log Slope]],"&gt;&gt;&gt; Enter 2 or more lab quotes &lt;&lt;&lt;")</f>
        <v>&gt;&gt;&gt; Enter 2 or more lab quotes &lt;&lt;&lt;</v>
      </c>
      <c r="AJ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3.3149999999999999</v>
      </c>
      <c r="AL99" s="372">
        <f>IF(ISTEXT(RawMaterials[[#This Row],[Unit price in quote year]]),"Check calcs",RawMaterials[[#This Row],[Unit price in quote year]]/VLOOKUP(RawMaterials[[#This Row],[Quote Year]],ChemPPI[],14,FALSE)*VLOOKUP(BasisYear,ChemPPI[],14,FALSE))</f>
        <v>4.4991692073170739</v>
      </c>
      <c r="AM99" s="373" t="str">
        <f t="shared" si="1"/>
        <v>$/lb (2016)</v>
      </c>
    </row>
    <row r="100" spans="1:39">
      <c r="A100" s="263" t="s">
        <v>1207</v>
      </c>
      <c r="B100" s="264"/>
      <c r="C100" s="271"/>
      <c r="D100" s="365"/>
      <c r="E100" s="264">
        <v>100</v>
      </c>
      <c r="F100" s="264"/>
      <c r="G100" s="271"/>
      <c r="H100" s="271"/>
      <c r="I100" s="268"/>
      <c r="J100" s="271"/>
      <c r="K100" s="271"/>
      <c r="L100" s="271"/>
      <c r="M100" s="271"/>
      <c r="N100" s="271"/>
      <c r="O100" s="271"/>
      <c r="P100" s="265">
        <v>350</v>
      </c>
      <c r="Q100" s="264">
        <v>1</v>
      </c>
      <c r="R100" s="264" t="s">
        <v>406</v>
      </c>
      <c r="S100" s="264">
        <v>2006</v>
      </c>
      <c r="T100" s="266" t="s">
        <v>163</v>
      </c>
      <c r="U100" s="267">
        <v>42653</v>
      </c>
      <c r="V100" s="269"/>
      <c r="W100" s="366">
        <f>COUNT(RawMaterials[[#This Row],[Lab Quantity 1]:[Lab Quantity 4]])</f>
        <v>0</v>
      </c>
      <c r="X1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0" s="367" t="e">
        <f>RawMaterials[[#This Row],[Lab Price 1]]/RawMaterials[[#This Row],[Lab Q Model Units 1]]</f>
        <v>#N/A</v>
      </c>
      <c r="AC100" s="367" t="e">
        <f>RawMaterials[[#This Row],[Lab Price 2]]/RawMaterials[[#This Row],[Lab Q Model Units 2]]</f>
        <v>#N/A</v>
      </c>
      <c r="AD100" s="367" t="e">
        <f>RawMaterials[[#This Row],[Lab Price 3]]/RawMaterials[[#This Row],[Lab Q Model Units 3]]</f>
        <v>#N/A</v>
      </c>
      <c r="AE100" s="367" t="e">
        <f>RawMaterials[[#This Row],[Lab Price 4]]/RawMaterials[[#This Row],[Lab Q Model Units 4]]</f>
        <v>#N/A</v>
      </c>
      <c r="AF100" s="367" t="str">
        <f ca="1">IF(RawMaterials[[#This Row],[Lab Quote Count]]&gt;1,SLOPE(LOG(INDIRECT("RawMaterials[@[Lab Unit P 1]:[Lab Unit P "&amp;RawMaterials[[#This Row],[Lab Quote Count]]&amp;"]]")),LOG(INDIRECT("RawMaterials[@[Lab Q Model Units 1]:[Lab Q Model Units "&amp;RawMaterials[[#This Row],[Lab Quote Count]]&amp;"]]"))),"")</f>
        <v/>
      </c>
      <c r="AG100" s="367" t="str">
        <f ca="1">IF(RawMaterials[[#This Row],[Lab Quote Count]]&gt;1,INTERCEPT(LOG(INDIRECT("RawMaterials[@[Lab Unit P 1]:[Lab Unit P "&amp;RawMaterials[[#This Row],[Lab Quote Count]]&amp;"]]")),LOG(INDIRECT("RawMaterials[@[Lab Q Model Units 1]:[Lab Q Model Units "&amp;RawMaterials[[#This Row],[Lab Quote Count]]&amp;"]]"))),"")</f>
        <v/>
      </c>
      <c r="AH100" s="368" t="str">
        <f>IF(RawMaterials[[#This Row],[Material Type]]="Metal Precursor","D13",IF(RawMaterials[[#This Row],[Material Type]]="Ligand","D13","D12"))</f>
        <v>D12</v>
      </c>
      <c r="AI100" s="369" t="str">
        <f ca="1">IF(RawMaterials[[#This Row],[Lab Quote Count]]&gt;1,10^RawMaterials[[#This Row],[Lab Log-Log Intercept]]*INDIRECT(RawMaterials[[#This Row],[Basis Cell]])^RawMaterials[[#This Row],[Lab Log-Log Slope]],"&gt;&gt;&gt; Enter 2 or more lab quotes &lt;&lt;&lt;")</f>
        <v>&gt;&gt;&gt; Enter 2 or more lab quotes &lt;&lt;&lt;</v>
      </c>
      <c r="AJ1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0.17499999999999999</v>
      </c>
      <c r="AL100" s="372">
        <f>IF(ISTEXT(RawMaterials[[#This Row],[Unit price in quote year]]),"Check calcs",RawMaterials[[#This Row],[Unit price in quote year]]/VLOOKUP(RawMaterials[[#This Row],[Quote Year]],ChemPPI[],14,FALSE)*VLOOKUP(BasisYear,ChemPPI[],14,FALSE))</f>
        <v>0.23751270325203255</v>
      </c>
      <c r="AM100" s="373" t="str">
        <f t="shared" si="1"/>
        <v>$/lb (2016)</v>
      </c>
    </row>
    <row r="101" spans="1:39">
      <c r="A101" s="263" t="s">
        <v>1208</v>
      </c>
      <c r="B101" s="264"/>
      <c r="C101" s="271"/>
      <c r="D101" s="365"/>
      <c r="E101" s="264">
        <v>100</v>
      </c>
      <c r="F101" s="264"/>
      <c r="G101" s="271"/>
      <c r="H101" s="271"/>
      <c r="I101" s="268"/>
      <c r="J101" s="271"/>
      <c r="K101" s="271"/>
      <c r="L101" s="271"/>
      <c r="M101" s="271"/>
      <c r="N101" s="271"/>
      <c r="O101" s="271"/>
      <c r="P101" s="265">
        <v>0.35</v>
      </c>
      <c r="Q101" s="264">
        <v>1</v>
      </c>
      <c r="R101" s="264" t="s">
        <v>20</v>
      </c>
      <c r="S101" s="264">
        <v>2006</v>
      </c>
      <c r="T101" s="266" t="s">
        <v>163</v>
      </c>
      <c r="U101" s="267">
        <v>42653</v>
      </c>
      <c r="V101" s="269"/>
      <c r="W101" s="366">
        <f>COUNT(RawMaterials[[#This Row],[Lab Quantity 1]:[Lab Quantity 4]])</f>
        <v>0</v>
      </c>
      <c r="X1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1" s="367" t="e">
        <f>RawMaterials[[#This Row],[Lab Price 1]]/RawMaterials[[#This Row],[Lab Q Model Units 1]]</f>
        <v>#N/A</v>
      </c>
      <c r="AC101" s="367" t="e">
        <f>RawMaterials[[#This Row],[Lab Price 2]]/RawMaterials[[#This Row],[Lab Q Model Units 2]]</f>
        <v>#N/A</v>
      </c>
      <c r="AD101" s="367" t="e">
        <f>RawMaterials[[#This Row],[Lab Price 3]]/RawMaterials[[#This Row],[Lab Q Model Units 3]]</f>
        <v>#N/A</v>
      </c>
      <c r="AE101" s="367" t="e">
        <f>RawMaterials[[#This Row],[Lab Price 4]]/RawMaterials[[#This Row],[Lab Q Model Units 4]]</f>
        <v>#N/A</v>
      </c>
      <c r="AF101" s="367" t="str">
        <f ca="1">IF(RawMaterials[[#This Row],[Lab Quote Count]]&gt;1,SLOPE(LOG(INDIRECT("RawMaterials[@[Lab Unit P 1]:[Lab Unit P "&amp;RawMaterials[[#This Row],[Lab Quote Count]]&amp;"]]")),LOG(INDIRECT("RawMaterials[@[Lab Q Model Units 1]:[Lab Q Model Units "&amp;RawMaterials[[#This Row],[Lab Quote Count]]&amp;"]]"))),"")</f>
        <v/>
      </c>
      <c r="AG101" s="367" t="str">
        <f ca="1">IF(RawMaterials[[#This Row],[Lab Quote Count]]&gt;1,INTERCEPT(LOG(INDIRECT("RawMaterials[@[Lab Unit P 1]:[Lab Unit P "&amp;RawMaterials[[#This Row],[Lab Quote Count]]&amp;"]]")),LOG(INDIRECT("RawMaterials[@[Lab Q Model Units 1]:[Lab Q Model Units "&amp;RawMaterials[[#This Row],[Lab Quote Count]]&amp;"]]"))),"")</f>
        <v/>
      </c>
      <c r="AH101" s="368" t="str">
        <f>IF(RawMaterials[[#This Row],[Material Type]]="Metal Precursor","D13",IF(RawMaterials[[#This Row],[Material Type]]="Ligand","D13","D12"))</f>
        <v>D12</v>
      </c>
      <c r="AI101" s="369" t="str">
        <f ca="1">IF(RawMaterials[[#This Row],[Lab Quote Count]]&gt;1,10^RawMaterials[[#This Row],[Lab Log-Log Intercept]]*INDIRECT(RawMaterials[[#This Row],[Basis Cell]])^RawMaterials[[#This Row],[Lab Log-Log Slope]],"&gt;&gt;&gt; Enter 2 or more lab quotes &lt;&lt;&lt;")</f>
        <v>&gt;&gt;&gt; Enter 2 or more lab quotes &lt;&lt;&lt;</v>
      </c>
      <c r="AJ1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v>
      </c>
      <c r="AL101" s="372">
        <f>IF(ISTEXT(RawMaterials[[#This Row],[Unit price in quote year]]),"Check calcs",RawMaterials[[#This Row],[Unit price in quote year]]/VLOOKUP(RawMaterials[[#This Row],[Quote Year]],ChemPPI[],14,FALSE)*VLOOKUP(BasisYear,ChemPPI[],14,FALSE))</f>
        <v>0.47502540650406511</v>
      </c>
      <c r="AM101" s="373" t="str">
        <f t="shared" si="1"/>
        <v>$/lb (2016)</v>
      </c>
    </row>
    <row r="102" spans="1:39">
      <c r="A102" s="263" t="s">
        <v>1209</v>
      </c>
      <c r="B102" s="264"/>
      <c r="C102" s="271"/>
      <c r="D102" s="365"/>
      <c r="E102" s="264">
        <v>100</v>
      </c>
      <c r="F102" s="264"/>
      <c r="G102" s="271"/>
      <c r="H102" s="271"/>
      <c r="I102" s="268"/>
      <c r="J102" s="271"/>
      <c r="K102" s="271"/>
      <c r="L102" s="271"/>
      <c r="M102" s="271"/>
      <c r="N102" s="271"/>
      <c r="O102" s="271"/>
      <c r="P102" s="265">
        <v>275</v>
      </c>
      <c r="Q102" s="264">
        <v>1</v>
      </c>
      <c r="R102" s="264" t="s">
        <v>406</v>
      </c>
      <c r="S102" s="264">
        <v>2006</v>
      </c>
      <c r="T102" s="266" t="s">
        <v>163</v>
      </c>
      <c r="U102" s="267">
        <v>42653</v>
      </c>
      <c r="V102" s="269"/>
      <c r="W102" s="366">
        <f>COUNT(RawMaterials[[#This Row],[Lab Quantity 1]:[Lab Quantity 4]])</f>
        <v>0</v>
      </c>
      <c r="X1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2" s="367" t="e">
        <f>RawMaterials[[#This Row],[Lab Price 1]]/RawMaterials[[#This Row],[Lab Q Model Units 1]]</f>
        <v>#N/A</v>
      </c>
      <c r="AC102" s="367" t="e">
        <f>RawMaterials[[#This Row],[Lab Price 2]]/RawMaterials[[#This Row],[Lab Q Model Units 2]]</f>
        <v>#N/A</v>
      </c>
      <c r="AD102" s="367" t="e">
        <f>RawMaterials[[#This Row],[Lab Price 3]]/RawMaterials[[#This Row],[Lab Q Model Units 3]]</f>
        <v>#N/A</v>
      </c>
      <c r="AE102" s="367" t="e">
        <f>RawMaterials[[#This Row],[Lab Price 4]]/RawMaterials[[#This Row],[Lab Q Model Units 4]]</f>
        <v>#N/A</v>
      </c>
      <c r="AF102" s="367" t="str">
        <f ca="1">IF(RawMaterials[[#This Row],[Lab Quote Count]]&gt;1,SLOPE(LOG(INDIRECT("RawMaterials[@[Lab Unit P 1]:[Lab Unit P "&amp;RawMaterials[[#This Row],[Lab Quote Count]]&amp;"]]")),LOG(INDIRECT("RawMaterials[@[Lab Q Model Units 1]:[Lab Q Model Units "&amp;RawMaterials[[#This Row],[Lab Quote Count]]&amp;"]]"))),"")</f>
        <v/>
      </c>
      <c r="AG102" s="367" t="str">
        <f ca="1">IF(RawMaterials[[#This Row],[Lab Quote Count]]&gt;1,INTERCEPT(LOG(INDIRECT("RawMaterials[@[Lab Unit P 1]:[Lab Unit P "&amp;RawMaterials[[#This Row],[Lab Quote Count]]&amp;"]]")),LOG(INDIRECT("RawMaterials[@[Lab Q Model Units 1]:[Lab Q Model Units "&amp;RawMaterials[[#This Row],[Lab Quote Count]]&amp;"]]"))),"")</f>
        <v/>
      </c>
      <c r="AH102" s="368" t="str">
        <f>IF(RawMaterials[[#This Row],[Material Type]]="Metal Precursor","D13",IF(RawMaterials[[#This Row],[Material Type]]="Ligand","D13","D12"))</f>
        <v>D12</v>
      </c>
      <c r="AI102" s="369" t="str">
        <f ca="1">IF(RawMaterials[[#This Row],[Lab Quote Count]]&gt;1,10^RawMaterials[[#This Row],[Lab Log-Log Intercept]]*INDIRECT(RawMaterials[[#This Row],[Basis Cell]])^RawMaterials[[#This Row],[Lab Log-Log Slope]],"&gt;&gt;&gt; Enter 2 or more lab quotes &lt;&lt;&lt;")</f>
        <v>&gt;&gt;&gt; Enter 2 or more lab quotes &lt;&lt;&lt;</v>
      </c>
      <c r="AJ1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0.13750000000000001</v>
      </c>
      <c r="AL102" s="372">
        <f>IF(ISTEXT(RawMaterials[[#This Row],[Unit price in quote year]]),"Check calcs",RawMaterials[[#This Row],[Unit price in quote year]]/VLOOKUP(RawMaterials[[#This Row],[Quote Year]],ChemPPI[],14,FALSE)*VLOOKUP(BasisYear,ChemPPI[],14,FALSE))</f>
        <v>0.18661712398373989</v>
      </c>
      <c r="AM102" s="373" t="str">
        <f t="shared" si="1"/>
        <v>$/lb (2016)</v>
      </c>
    </row>
    <row r="103" spans="1:39">
      <c r="A103" s="263" t="s">
        <v>1210</v>
      </c>
      <c r="B103" s="264"/>
      <c r="C103" s="271"/>
      <c r="D103" s="365"/>
      <c r="E103" s="264">
        <v>80</v>
      </c>
      <c r="F103" s="264"/>
      <c r="G103" s="271"/>
      <c r="H103" s="271"/>
      <c r="I103" s="268"/>
      <c r="J103" s="271"/>
      <c r="K103" s="271"/>
      <c r="L103" s="271"/>
      <c r="M103" s="271"/>
      <c r="N103" s="271"/>
      <c r="O103" s="271"/>
      <c r="P103" s="265">
        <v>265</v>
      </c>
      <c r="Q103" s="264">
        <v>1</v>
      </c>
      <c r="R103" s="264" t="s">
        <v>406</v>
      </c>
      <c r="S103" s="264">
        <v>2006</v>
      </c>
      <c r="T103" s="266" t="s">
        <v>163</v>
      </c>
      <c r="U103" s="267">
        <v>42653</v>
      </c>
      <c r="V103" s="269"/>
      <c r="W103" s="366">
        <f>COUNT(RawMaterials[[#This Row],[Lab Quantity 1]:[Lab Quantity 4]])</f>
        <v>0</v>
      </c>
      <c r="X1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3" s="367" t="e">
        <f>RawMaterials[[#This Row],[Lab Price 1]]/RawMaterials[[#This Row],[Lab Q Model Units 1]]</f>
        <v>#N/A</v>
      </c>
      <c r="AC103" s="367" t="e">
        <f>RawMaterials[[#This Row],[Lab Price 2]]/RawMaterials[[#This Row],[Lab Q Model Units 2]]</f>
        <v>#N/A</v>
      </c>
      <c r="AD103" s="367" t="e">
        <f>RawMaterials[[#This Row],[Lab Price 3]]/RawMaterials[[#This Row],[Lab Q Model Units 3]]</f>
        <v>#N/A</v>
      </c>
      <c r="AE103" s="367" t="e">
        <f>RawMaterials[[#This Row],[Lab Price 4]]/RawMaterials[[#This Row],[Lab Q Model Units 4]]</f>
        <v>#N/A</v>
      </c>
      <c r="AF103" s="367" t="str">
        <f ca="1">IF(RawMaterials[[#This Row],[Lab Quote Count]]&gt;1,SLOPE(LOG(INDIRECT("RawMaterials[@[Lab Unit P 1]:[Lab Unit P "&amp;RawMaterials[[#This Row],[Lab Quote Count]]&amp;"]]")),LOG(INDIRECT("RawMaterials[@[Lab Q Model Units 1]:[Lab Q Model Units "&amp;RawMaterials[[#This Row],[Lab Quote Count]]&amp;"]]"))),"")</f>
        <v/>
      </c>
      <c r="AG103" s="367" t="str">
        <f ca="1">IF(RawMaterials[[#This Row],[Lab Quote Count]]&gt;1,INTERCEPT(LOG(INDIRECT("RawMaterials[@[Lab Unit P 1]:[Lab Unit P "&amp;RawMaterials[[#This Row],[Lab Quote Count]]&amp;"]]")),LOG(INDIRECT("RawMaterials[@[Lab Q Model Units 1]:[Lab Q Model Units "&amp;RawMaterials[[#This Row],[Lab Quote Count]]&amp;"]]"))),"")</f>
        <v/>
      </c>
      <c r="AH103" s="368" t="str">
        <f>IF(RawMaterials[[#This Row],[Material Type]]="Metal Precursor","D13",IF(RawMaterials[[#This Row],[Material Type]]="Ligand","D13","D12"))</f>
        <v>D12</v>
      </c>
      <c r="AI103" s="369" t="str">
        <f ca="1">IF(RawMaterials[[#This Row],[Lab Quote Count]]&gt;1,10^RawMaterials[[#This Row],[Lab Log-Log Intercept]]*INDIRECT(RawMaterials[[#This Row],[Basis Cell]])^RawMaterials[[#This Row],[Lab Log-Log Slope]],"&gt;&gt;&gt; Enter 2 or more lab quotes &lt;&lt;&lt;")</f>
        <v>&gt;&gt;&gt; Enter 2 or more lab quotes &lt;&lt;&lt;</v>
      </c>
      <c r="AJ1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103" s="372">
        <f>IF(ISTEXT(RawMaterials[[#This Row],[Unit price in quote year]]),"Check calcs",RawMaterials[[#This Row],[Unit price in quote year]]/VLOOKUP(RawMaterials[[#This Row],[Quote Year]],ChemPPI[],14,FALSE)*VLOOKUP(BasisYear,ChemPPI[],14,FALSE))</f>
        <v>0.17983104674796752</v>
      </c>
      <c r="AM103" s="373" t="str">
        <f t="shared" si="1"/>
        <v>$/lb (2016)</v>
      </c>
    </row>
    <row r="104" spans="1:39">
      <c r="A104" s="263" t="s">
        <v>1211</v>
      </c>
      <c r="B104" s="264"/>
      <c r="C104" s="271"/>
      <c r="D104" s="365"/>
      <c r="E104" s="264">
        <v>80</v>
      </c>
      <c r="F104" s="264"/>
      <c r="G104" s="271"/>
      <c r="H104" s="271"/>
      <c r="I104" s="268"/>
      <c r="J104" s="271"/>
      <c r="K104" s="271"/>
      <c r="L104" s="271"/>
      <c r="M104" s="271"/>
      <c r="N104" s="271"/>
      <c r="O104" s="271"/>
      <c r="P104" s="265">
        <v>200</v>
      </c>
      <c r="Q104" s="264">
        <v>1</v>
      </c>
      <c r="R104" s="264" t="s">
        <v>406</v>
      </c>
      <c r="S104" s="264">
        <v>2006</v>
      </c>
      <c r="T104" s="266" t="s">
        <v>163</v>
      </c>
      <c r="U104" s="267">
        <v>42653</v>
      </c>
      <c r="V104" s="269"/>
      <c r="W104" s="366">
        <f>COUNT(RawMaterials[[#This Row],[Lab Quantity 1]:[Lab Quantity 4]])</f>
        <v>0</v>
      </c>
      <c r="X1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4" s="367" t="e">
        <f>RawMaterials[[#This Row],[Lab Price 1]]/RawMaterials[[#This Row],[Lab Q Model Units 1]]</f>
        <v>#N/A</v>
      </c>
      <c r="AC104" s="367" t="e">
        <f>RawMaterials[[#This Row],[Lab Price 2]]/RawMaterials[[#This Row],[Lab Q Model Units 2]]</f>
        <v>#N/A</v>
      </c>
      <c r="AD104" s="367" t="e">
        <f>RawMaterials[[#This Row],[Lab Price 3]]/RawMaterials[[#This Row],[Lab Q Model Units 3]]</f>
        <v>#N/A</v>
      </c>
      <c r="AE104" s="367" t="e">
        <f>RawMaterials[[#This Row],[Lab Price 4]]/RawMaterials[[#This Row],[Lab Q Model Units 4]]</f>
        <v>#N/A</v>
      </c>
      <c r="AF104" s="367" t="str">
        <f ca="1">IF(RawMaterials[[#This Row],[Lab Quote Count]]&gt;1,SLOPE(LOG(INDIRECT("RawMaterials[@[Lab Unit P 1]:[Lab Unit P "&amp;RawMaterials[[#This Row],[Lab Quote Count]]&amp;"]]")),LOG(INDIRECT("RawMaterials[@[Lab Q Model Units 1]:[Lab Q Model Units "&amp;RawMaterials[[#This Row],[Lab Quote Count]]&amp;"]]"))),"")</f>
        <v/>
      </c>
      <c r="AG104" s="367" t="str">
        <f ca="1">IF(RawMaterials[[#This Row],[Lab Quote Count]]&gt;1,INTERCEPT(LOG(INDIRECT("RawMaterials[@[Lab Unit P 1]:[Lab Unit P "&amp;RawMaterials[[#This Row],[Lab Quote Count]]&amp;"]]")),LOG(INDIRECT("RawMaterials[@[Lab Q Model Units 1]:[Lab Q Model Units "&amp;RawMaterials[[#This Row],[Lab Quote Count]]&amp;"]]"))),"")</f>
        <v/>
      </c>
      <c r="AH104" s="368" t="str">
        <f>IF(RawMaterials[[#This Row],[Material Type]]="Metal Precursor","D13",IF(RawMaterials[[#This Row],[Material Type]]="Ligand","D13","D12"))</f>
        <v>D12</v>
      </c>
      <c r="AI104" s="369" t="str">
        <f ca="1">IF(RawMaterials[[#This Row],[Lab Quote Count]]&gt;1,10^RawMaterials[[#This Row],[Lab Log-Log Intercept]]*INDIRECT(RawMaterials[[#This Row],[Basis Cell]])^RawMaterials[[#This Row],[Lab Log-Log Slope]],"&gt;&gt;&gt; Enter 2 or more lab quotes &lt;&lt;&lt;")</f>
        <v>&gt;&gt;&gt; Enter 2 or more lab quotes &lt;&lt;&lt;</v>
      </c>
      <c r="AJ1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104" s="372">
        <f>IF(ISTEXT(RawMaterials[[#This Row],[Unit price in quote year]]),"Check calcs",RawMaterials[[#This Row],[Unit price in quote year]]/VLOOKUP(RawMaterials[[#This Row],[Quote Year]],ChemPPI[],14,FALSE)*VLOOKUP(BasisYear,ChemPPI[],14,FALSE))</f>
        <v>0.13572154471544717</v>
      </c>
      <c r="AM104" s="373" t="str">
        <f t="shared" si="1"/>
        <v>$/lb (2016)</v>
      </c>
    </row>
    <row r="105" spans="1:39">
      <c r="A105" s="263" t="s">
        <v>1212</v>
      </c>
      <c r="B105" s="264"/>
      <c r="C105" s="271"/>
      <c r="D105" s="365"/>
      <c r="E105" s="264">
        <v>35</v>
      </c>
      <c r="F105" s="264"/>
      <c r="G105" s="271"/>
      <c r="H105" s="271"/>
      <c r="I105" s="268"/>
      <c r="J105" s="271"/>
      <c r="K105" s="271"/>
      <c r="L105" s="271"/>
      <c r="M105" s="271"/>
      <c r="N105" s="271"/>
      <c r="O105" s="271"/>
      <c r="P105" s="265">
        <v>142.5</v>
      </c>
      <c r="Q105" s="264">
        <v>1</v>
      </c>
      <c r="R105" s="264" t="s">
        <v>406</v>
      </c>
      <c r="S105" s="264">
        <v>2006</v>
      </c>
      <c r="T105" s="266" t="s">
        <v>163</v>
      </c>
      <c r="U105" s="267">
        <v>42653</v>
      </c>
      <c r="V105" s="269"/>
      <c r="W105" s="366">
        <f>COUNT(RawMaterials[[#This Row],[Lab Quantity 1]:[Lab Quantity 4]])</f>
        <v>0</v>
      </c>
      <c r="X1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5" s="367" t="e">
        <f>RawMaterials[[#This Row],[Lab Price 1]]/RawMaterials[[#This Row],[Lab Q Model Units 1]]</f>
        <v>#N/A</v>
      </c>
      <c r="AC105" s="367" t="e">
        <f>RawMaterials[[#This Row],[Lab Price 2]]/RawMaterials[[#This Row],[Lab Q Model Units 2]]</f>
        <v>#N/A</v>
      </c>
      <c r="AD105" s="367" t="e">
        <f>RawMaterials[[#This Row],[Lab Price 3]]/RawMaterials[[#This Row],[Lab Q Model Units 3]]</f>
        <v>#N/A</v>
      </c>
      <c r="AE105" s="367" t="e">
        <f>RawMaterials[[#This Row],[Lab Price 4]]/RawMaterials[[#This Row],[Lab Q Model Units 4]]</f>
        <v>#N/A</v>
      </c>
      <c r="AF105" s="367" t="str">
        <f ca="1">IF(RawMaterials[[#This Row],[Lab Quote Count]]&gt;1,SLOPE(LOG(INDIRECT("RawMaterials[@[Lab Unit P 1]:[Lab Unit P "&amp;RawMaterials[[#This Row],[Lab Quote Count]]&amp;"]]")),LOG(INDIRECT("RawMaterials[@[Lab Q Model Units 1]:[Lab Q Model Units "&amp;RawMaterials[[#This Row],[Lab Quote Count]]&amp;"]]"))),"")</f>
        <v/>
      </c>
      <c r="AG105" s="367" t="str">
        <f ca="1">IF(RawMaterials[[#This Row],[Lab Quote Count]]&gt;1,INTERCEPT(LOG(INDIRECT("RawMaterials[@[Lab Unit P 1]:[Lab Unit P "&amp;RawMaterials[[#This Row],[Lab Quote Count]]&amp;"]]")),LOG(INDIRECT("RawMaterials[@[Lab Q Model Units 1]:[Lab Q Model Units "&amp;RawMaterials[[#This Row],[Lab Quote Count]]&amp;"]]"))),"")</f>
        <v/>
      </c>
      <c r="AH105" s="368" t="str">
        <f>IF(RawMaterials[[#This Row],[Material Type]]="Metal Precursor","D13",IF(RawMaterials[[#This Row],[Material Type]]="Ligand","D13","D12"))</f>
        <v>D12</v>
      </c>
      <c r="AI105" s="369" t="str">
        <f ca="1">IF(RawMaterials[[#This Row],[Lab Quote Count]]&gt;1,10^RawMaterials[[#This Row],[Lab Log-Log Intercept]]*INDIRECT(RawMaterials[[#This Row],[Basis Cell]])^RawMaterials[[#This Row],[Lab Log-Log Slope]],"&gt;&gt;&gt; Enter 2 or more lab quotes &lt;&lt;&lt;")</f>
        <v>&gt;&gt;&gt; Enter 2 or more lab quotes &lt;&lt;&lt;</v>
      </c>
      <c r="AJ1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7.1249999999999994E-2</v>
      </c>
      <c r="AL105" s="372">
        <f>IF(ISTEXT(RawMaterials[[#This Row],[Unit price in quote year]]),"Check calcs",RawMaterials[[#This Row],[Unit price in quote year]]/VLOOKUP(RawMaterials[[#This Row],[Quote Year]],ChemPPI[],14,FALSE)*VLOOKUP(BasisYear,ChemPPI[],14,FALSE))</f>
        <v>9.6701600609756105E-2</v>
      </c>
      <c r="AM105" s="373" t="str">
        <f t="shared" si="1"/>
        <v>$/lb (2016)</v>
      </c>
    </row>
    <row r="106" spans="1:39">
      <c r="A106" s="263" t="s">
        <v>1213</v>
      </c>
      <c r="B106" s="264"/>
      <c r="C106" s="271"/>
      <c r="D106" s="365"/>
      <c r="E106" s="264">
        <v>45</v>
      </c>
      <c r="F106" s="264"/>
      <c r="G106" s="271"/>
      <c r="H106" s="271"/>
      <c r="I106" s="268"/>
      <c r="J106" s="271"/>
      <c r="K106" s="271"/>
      <c r="L106" s="271"/>
      <c r="M106" s="271"/>
      <c r="N106" s="271"/>
      <c r="O106" s="271"/>
      <c r="P106" s="265">
        <v>167.5</v>
      </c>
      <c r="Q106" s="264">
        <v>1</v>
      </c>
      <c r="R106" s="264" t="s">
        <v>406</v>
      </c>
      <c r="S106" s="264">
        <v>2006</v>
      </c>
      <c r="T106" s="266" t="s">
        <v>163</v>
      </c>
      <c r="U106" s="267">
        <v>42653</v>
      </c>
      <c r="V106" s="269"/>
      <c r="W106" s="366">
        <f>COUNT(RawMaterials[[#This Row],[Lab Quantity 1]:[Lab Quantity 4]])</f>
        <v>0</v>
      </c>
      <c r="X1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6" s="367" t="e">
        <f>RawMaterials[[#This Row],[Lab Price 1]]/RawMaterials[[#This Row],[Lab Q Model Units 1]]</f>
        <v>#N/A</v>
      </c>
      <c r="AC106" s="367" t="e">
        <f>RawMaterials[[#This Row],[Lab Price 2]]/RawMaterials[[#This Row],[Lab Q Model Units 2]]</f>
        <v>#N/A</v>
      </c>
      <c r="AD106" s="367" t="e">
        <f>RawMaterials[[#This Row],[Lab Price 3]]/RawMaterials[[#This Row],[Lab Q Model Units 3]]</f>
        <v>#N/A</v>
      </c>
      <c r="AE106" s="367" t="e">
        <f>RawMaterials[[#This Row],[Lab Price 4]]/RawMaterials[[#This Row],[Lab Q Model Units 4]]</f>
        <v>#N/A</v>
      </c>
      <c r="AF106" s="367" t="str">
        <f ca="1">IF(RawMaterials[[#This Row],[Lab Quote Count]]&gt;1,SLOPE(LOG(INDIRECT("RawMaterials[@[Lab Unit P 1]:[Lab Unit P "&amp;RawMaterials[[#This Row],[Lab Quote Count]]&amp;"]]")),LOG(INDIRECT("RawMaterials[@[Lab Q Model Units 1]:[Lab Q Model Units "&amp;RawMaterials[[#This Row],[Lab Quote Count]]&amp;"]]"))),"")</f>
        <v/>
      </c>
      <c r="AG106" s="367" t="str">
        <f ca="1">IF(RawMaterials[[#This Row],[Lab Quote Count]]&gt;1,INTERCEPT(LOG(INDIRECT("RawMaterials[@[Lab Unit P 1]:[Lab Unit P "&amp;RawMaterials[[#This Row],[Lab Quote Count]]&amp;"]]")),LOG(INDIRECT("RawMaterials[@[Lab Q Model Units 1]:[Lab Q Model Units "&amp;RawMaterials[[#This Row],[Lab Quote Count]]&amp;"]]"))),"")</f>
        <v/>
      </c>
      <c r="AH106" s="368" t="str">
        <f>IF(RawMaterials[[#This Row],[Material Type]]="Metal Precursor","D13",IF(RawMaterials[[#This Row],[Material Type]]="Ligand","D13","D12"))</f>
        <v>D12</v>
      </c>
      <c r="AI106" s="369" t="str">
        <f ca="1">IF(RawMaterials[[#This Row],[Lab Quote Count]]&gt;1,10^RawMaterials[[#This Row],[Lab Log-Log Intercept]]*INDIRECT(RawMaterials[[#This Row],[Basis Cell]])^RawMaterials[[#This Row],[Lab Log-Log Slope]],"&gt;&gt;&gt; Enter 2 or more lab quotes &lt;&lt;&lt;")</f>
        <v>&gt;&gt;&gt; Enter 2 or more lab quotes &lt;&lt;&lt;</v>
      </c>
      <c r="AJ1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8.3750000000000005E-2</v>
      </c>
      <c r="AL106" s="372">
        <f>IF(ISTEXT(RawMaterials[[#This Row],[Unit price in quote year]]),"Check calcs",RawMaterials[[#This Row],[Unit price in quote year]]/VLOOKUP(RawMaterials[[#This Row],[Quote Year]],ChemPPI[],14,FALSE)*VLOOKUP(BasisYear,ChemPPI[],14,FALSE))</f>
        <v>0.11366679369918702</v>
      </c>
      <c r="AM106" s="373" t="str">
        <f t="shared" si="1"/>
        <v>$/lb (2016)</v>
      </c>
    </row>
    <row r="107" spans="1:39">
      <c r="A107" s="263" t="s">
        <v>1214</v>
      </c>
      <c r="B107" s="264"/>
      <c r="C107" s="271"/>
      <c r="D107" s="365"/>
      <c r="E107" s="264">
        <v>100</v>
      </c>
      <c r="F107" s="264"/>
      <c r="G107" s="271"/>
      <c r="H107" s="271"/>
      <c r="I107" s="268"/>
      <c r="J107" s="271"/>
      <c r="K107" s="271"/>
      <c r="L107" s="271"/>
      <c r="M107" s="271"/>
      <c r="N107" s="271"/>
      <c r="O107" s="271"/>
      <c r="P107" s="265">
        <v>5.75</v>
      </c>
      <c r="Q107" s="264">
        <v>1</v>
      </c>
      <c r="R107" s="264" t="s">
        <v>71</v>
      </c>
      <c r="S107" s="264">
        <v>2006</v>
      </c>
      <c r="T107" s="266" t="s">
        <v>163</v>
      </c>
      <c r="U107" s="267">
        <v>42653</v>
      </c>
      <c r="V107" s="269"/>
      <c r="W107" s="366">
        <f>COUNT(RawMaterials[[#This Row],[Lab Quantity 1]:[Lab Quantity 4]])</f>
        <v>0</v>
      </c>
      <c r="X1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7" s="367" t="e">
        <f>RawMaterials[[#This Row],[Lab Price 1]]/RawMaterials[[#This Row],[Lab Q Model Units 1]]</f>
        <v>#N/A</v>
      </c>
      <c r="AC107" s="367" t="e">
        <f>RawMaterials[[#This Row],[Lab Price 2]]/RawMaterials[[#This Row],[Lab Q Model Units 2]]</f>
        <v>#N/A</v>
      </c>
      <c r="AD107" s="367" t="e">
        <f>RawMaterials[[#This Row],[Lab Price 3]]/RawMaterials[[#This Row],[Lab Q Model Units 3]]</f>
        <v>#N/A</v>
      </c>
      <c r="AE107" s="367" t="e">
        <f>RawMaterials[[#This Row],[Lab Price 4]]/RawMaterials[[#This Row],[Lab Q Model Units 4]]</f>
        <v>#N/A</v>
      </c>
      <c r="AF107" s="367" t="str">
        <f ca="1">IF(RawMaterials[[#This Row],[Lab Quote Count]]&gt;1,SLOPE(LOG(INDIRECT("RawMaterials[@[Lab Unit P 1]:[Lab Unit P "&amp;RawMaterials[[#This Row],[Lab Quote Count]]&amp;"]]")),LOG(INDIRECT("RawMaterials[@[Lab Q Model Units 1]:[Lab Q Model Units "&amp;RawMaterials[[#This Row],[Lab Quote Count]]&amp;"]]"))),"")</f>
        <v/>
      </c>
      <c r="AG107" s="367" t="str">
        <f ca="1">IF(RawMaterials[[#This Row],[Lab Quote Count]]&gt;1,INTERCEPT(LOG(INDIRECT("RawMaterials[@[Lab Unit P 1]:[Lab Unit P "&amp;RawMaterials[[#This Row],[Lab Quote Count]]&amp;"]]")),LOG(INDIRECT("RawMaterials[@[Lab Q Model Units 1]:[Lab Q Model Units "&amp;RawMaterials[[#This Row],[Lab Quote Count]]&amp;"]]"))),"")</f>
        <v/>
      </c>
      <c r="AH107" s="368" t="str">
        <f>IF(RawMaterials[[#This Row],[Material Type]]="Metal Precursor","D13",IF(RawMaterials[[#This Row],[Material Type]]="Ligand","D13","D12"))</f>
        <v>D12</v>
      </c>
      <c r="AI107" s="369" t="str">
        <f ca="1">IF(RawMaterials[[#This Row],[Lab Quote Count]]&gt;1,10^RawMaterials[[#This Row],[Lab Log-Log Intercept]]*INDIRECT(RawMaterials[[#This Row],[Basis Cell]])^RawMaterials[[#This Row],[Lab Log-Log Slope]],"&gt;&gt;&gt; Enter 2 or more lab quotes &lt;&lt;&lt;")</f>
        <v>&gt;&gt;&gt; Enter 2 or more lab quotes &lt;&lt;&lt;</v>
      </c>
      <c r="AJ1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2.6081561275</v>
      </c>
      <c r="AL107" s="372">
        <f>IF(ISTEXT(RawMaterials[[#This Row],[Unit price in quote year]]),"Check calcs",RawMaterials[[#This Row],[Unit price in quote year]]/VLOOKUP(RawMaterials[[#This Row],[Quote Year]],ChemPPI[],14,FALSE)*VLOOKUP(BasisYear,ChemPPI[],14,FALSE))</f>
        <v>3.539829784833588</v>
      </c>
      <c r="AM107" s="373" t="str">
        <f t="shared" si="1"/>
        <v>$/lb (2016)</v>
      </c>
    </row>
    <row r="108" spans="1:39">
      <c r="A108" s="263" t="s">
        <v>1215</v>
      </c>
      <c r="B108" s="264"/>
      <c r="C108" s="271"/>
      <c r="D108" s="365"/>
      <c r="E108" s="264">
        <v>100</v>
      </c>
      <c r="F108" s="264"/>
      <c r="G108" s="271"/>
      <c r="H108" s="271"/>
      <c r="I108" s="268"/>
      <c r="J108" s="271"/>
      <c r="K108" s="271"/>
      <c r="L108" s="271"/>
      <c r="M108" s="271"/>
      <c r="N108" s="271"/>
      <c r="O108" s="271"/>
      <c r="P108" s="265">
        <v>0.72</v>
      </c>
      <c r="Q108" s="264">
        <v>1</v>
      </c>
      <c r="R108" s="264" t="s">
        <v>20</v>
      </c>
      <c r="S108" s="264">
        <v>2006</v>
      </c>
      <c r="T108" s="266" t="s">
        <v>163</v>
      </c>
      <c r="U108" s="267">
        <v>42653</v>
      </c>
      <c r="V108" s="269"/>
      <c r="W108" s="366">
        <f>COUNT(RawMaterials[[#This Row],[Lab Quantity 1]:[Lab Quantity 4]])</f>
        <v>0</v>
      </c>
      <c r="X1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8" s="367" t="e">
        <f>RawMaterials[[#This Row],[Lab Price 1]]/RawMaterials[[#This Row],[Lab Q Model Units 1]]</f>
        <v>#N/A</v>
      </c>
      <c r="AC108" s="367" t="e">
        <f>RawMaterials[[#This Row],[Lab Price 2]]/RawMaterials[[#This Row],[Lab Q Model Units 2]]</f>
        <v>#N/A</v>
      </c>
      <c r="AD108" s="367" t="e">
        <f>RawMaterials[[#This Row],[Lab Price 3]]/RawMaterials[[#This Row],[Lab Q Model Units 3]]</f>
        <v>#N/A</v>
      </c>
      <c r="AE108" s="367" t="e">
        <f>RawMaterials[[#This Row],[Lab Price 4]]/RawMaterials[[#This Row],[Lab Q Model Units 4]]</f>
        <v>#N/A</v>
      </c>
      <c r="AF108" s="367" t="str">
        <f ca="1">IF(RawMaterials[[#This Row],[Lab Quote Count]]&gt;1,SLOPE(LOG(INDIRECT("RawMaterials[@[Lab Unit P 1]:[Lab Unit P "&amp;RawMaterials[[#This Row],[Lab Quote Count]]&amp;"]]")),LOG(INDIRECT("RawMaterials[@[Lab Q Model Units 1]:[Lab Q Model Units "&amp;RawMaterials[[#This Row],[Lab Quote Count]]&amp;"]]"))),"")</f>
        <v/>
      </c>
      <c r="AG108" s="367" t="str">
        <f ca="1">IF(RawMaterials[[#This Row],[Lab Quote Count]]&gt;1,INTERCEPT(LOG(INDIRECT("RawMaterials[@[Lab Unit P 1]:[Lab Unit P "&amp;RawMaterials[[#This Row],[Lab Quote Count]]&amp;"]]")),LOG(INDIRECT("RawMaterials[@[Lab Q Model Units 1]:[Lab Q Model Units "&amp;RawMaterials[[#This Row],[Lab Quote Count]]&amp;"]]"))),"")</f>
        <v/>
      </c>
      <c r="AH108" s="368" t="str">
        <f>IF(RawMaterials[[#This Row],[Material Type]]="Metal Precursor","D13",IF(RawMaterials[[#This Row],[Material Type]]="Ligand","D13","D12"))</f>
        <v>D12</v>
      </c>
      <c r="AI108" s="369" t="str">
        <f ca="1">IF(RawMaterials[[#This Row],[Lab Quote Count]]&gt;1,10^RawMaterials[[#This Row],[Lab Log-Log Intercept]]*INDIRECT(RawMaterials[[#This Row],[Basis Cell]])^RawMaterials[[#This Row],[Lab Log-Log Slope]],"&gt;&gt;&gt; Enter 2 or more lab quotes &lt;&lt;&lt;")</f>
        <v>&gt;&gt;&gt; Enter 2 or more lab quotes &lt;&lt;&lt;</v>
      </c>
      <c r="AJ1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108" s="372">
        <f>IF(ISTEXT(RawMaterials[[#This Row],[Unit price in quote year]]),"Check calcs",RawMaterials[[#This Row],[Unit price in quote year]]/VLOOKUP(RawMaterials[[#This Row],[Quote Year]],ChemPPI[],14,FALSE)*VLOOKUP(BasisYear,ChemPPI[],14,FALSE))</f>
        <v>0.9771951219512196</v>
      </c>
      <c r="AM108" s="373" t="str">
        <f t="shared" si="1"/>
        <v>$/lb (2016)</v>
      </c>
    </row>
    <row r="109" spans="1:39">
      <c r="A109" s="263" t="s">
        <v>1216</v>
      </c>
      <c r="B109" s="264"/>
      <c r="C109" s="271"/>
      <c r="D109" s="365"/>
      <c r="E109" s="264">
        <v>100</v>
      </c>
      <c r="F109" s="264"/>
      <c r="G109" s="271"/>
      <c r="H109" s="271"/>
      <c r="I109" s="268"/>
      <c r="J109" s="271"/>
      <c r="K109" s="271"/>
      <c r="L109" s="271"/>
      <c r="M109" s="271"/>
      <c r="N109" s="271"/>
      <c r="O109" s="271"/>
      <c r="P109" s="265">
        <v>26.5</v>
      </c>
      <c r="Q109" s="264">
        <v>1</v>
      </c>
      <c r="R109" s="264" t="s">
        <v>71</v>
      </c>
      <c r="S109" s="264">
        <v>2006</v>
      </c>
      <c r="T109" s="266" t="s">
        <v>163</v>
      </c>
      <c r="U109" s="267">
        <v>42653</v>
      </c>
      <c r="V109" s="269"/>
      <c r="W109" s="366">
        <f>COUNT(RawMaterials[[#This Row],[Lab Quantity 1]:[Lab Quantity 4]])</f>
        <v>0</v>
      </c>
      <c r="X1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09" s="367" t="e">
        <f>RawMaterials[[#This Row],[Lab Price 1]]/RawMaterials[[#This Row],[Lab Q Model Units 1]]</f>
        <v>#N/A</v>
      </c>
      <c r="AC109" s="367" t="e">
        <f>RawMaterials[[#This Row],[Lab Price 2]]/RawMaterials[[#This Row],[Lab Q Model Units 2]]</f>
        <v>#N/A</v>
      </c>
      <c r="AD109" s="367" t="e">
        <f>RawMaterials[[#This Row],[Lab Price 3]]/RawMaterials[[#This Row],[Lab Q Model Units 3]]</f>
        <v>#N/A</v>
      </c>
      <c r="AE109" s="367" t="e">
        <f>RawMaterials[[#This Row],[Lab Price 4]]/RawMaterials[[#This Row],[Lab Q Model Units 4]]</f>
        <v>#N/A</v>
      </c>
      <c r="AF109" s="367" t="str">
        <f ca="1">IF(RawMaterials[[#This Row],[Lab Quote Count]]&gt;1,SLOPE(LOG(INDIRECT("RawMaterials[@[Lab Unit P 1]:[Lab Unit P "&amp;RawMaterials[[#This Row],[Lab Quote Count]]&amp;"]]")),LOG(INDIRECT("RawMaterials[@[Lab Q Model Units 1]:[Lab Q Model Units "&amp;RawMaterials[[#This Row],[Lab Quote Count]]&amp;"]]"))),"")</f>
        <v/>
      </c>
      <c r="AG109" s="367" t="str">
        <f ca="1">IF(RawMaterials[[#This Row],[Lab Quote Count]]&gt;1,INTERCEPT(LOG(INDIRECT("RawMaterials[@[Lab Unit P 1]:[Lab Unit P "&amp;RawMaterials[[#This Row],[Lab Quote Count]]&amp;"]]")),LOG(INDIRECT("RawMaterials[@[Lab Q Model Units 1]:[Lab Q Model Units "&amp;RawMaterials[[#This Row],[Lab Quote Count]]&amp;"]]"))),"")</f>
        <v/>
      </c>
      <c r="AH109" s="368" t="str">
        <f>IF(RawMaterials[[#This Row],[Material Type]]="Metal Precursor","D13",IF(RawMaterials[[#This Row],[Material Type]]="Ligand","D13","D12"))</f>
        <v>D12</v>
      </c>
      <c r="AI109" s="369" t="str">
        <f ca="1">IF(RawMaterials[[#This Row],[Lab Quote Count]]&gt;1,10^RawMaterials[[#This Row],[Lab Log-Log Intercept]]*INDIRECT(RawMaterials[[#This Row],[Basis Cell]])^RawMaterials[[#This Row],[Lab Log-Log Slope]],"&gt;&gt;&gt; Enter 2 or more lab quotes &lt;&lt;&lt;")</f>
        <v>&gt;&gt;&gt; Enter 2 or more lab quotes &lt;&lt;&lt;</v>
      </c>
      <c r="AJ1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12.020197805</v>
      </c>
      <c r="AL109" s="372">
        <f>IF(ISTEXT(RawMaterials[[#This Row],[Unit price in quote year]]),"Check calcs",RawMaterials[[#This Row],[Unit price in quote year]]/VLOOKUP(RawMaterials[[#This Row],[Quote Year]],ChemPPI[],14,FALSE)*VLOOKUP(BasisYear,ChemPPI[],14,FALSE))</f>
        <v>16.313998138798276</v>
      </c>
      <c r="AM109" s="373" t="str">
        <f t="shared" si="1"/>
        <v>$/lb (2016)</v>
      </c>
    </row>
    <row r="110" spans="1:39">
      <c r="A110" s="263" t="s">
        <v>1217</v>
      </c>
      <c r="B110" s="264"/>
      <c r="C110" s="271"/>
      <c r="D110" s="365"/>
      <c r="E110" s="264">
        <v>100</v>
      </c>
      <c r="F110" s="264"/>
      <c r="G110" s="271"/>
      <c r="H110" s="271"/>
      <c r="I110" s="268"/>
      <c r="J110" s="271"/>
      <c r="K110" s="271"/>
      <c r="L110" s="271"/>
      <c r="M110" s="271"/>
      <c r="N110" s="271"/>
      <c r="O110" s="271"/>
      <c r="P110" s="265">
        <v>95.375</v>
      </c>
      <c r="Q110" s="264">
        <v>100</v>
      </c>
      <c r="R110" s="264" t="s">
        <v>20</v>
      </c>
      <c r="S110" s="264">
        <v>2006</v>
      </c>
      <c r="T110" s="266" t="s">
        <v>163</v>
      </c>
      <c r="U110" s="267">
        <v>42653</v>
      </c>
      <c r="V110" s="269"/>
      <c r="W110" s="366">
        <f>COUNT(RawMaterials[[#This Row],[Lab Quantity 1]:[Lab Quantity 4]])</f>
        <v>0</v>
      </c>
      <c r="X1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0" s="367" t="e">
        <f>RawMaterials[[#This Row],[Lab Price 1]]/RawMaterials[[#This Row],[Lab Q Model Units 1]]</f>
        <v>#N/A</v>
      </c>
      <c r="AC110" s="367" t="e">
        <f>RawMaterials[[#This Row],[Lab Price 2]]/RawMaterials[[#This Row],[Lab Q Model Units 2]]</f>
        <v>#N/A</v>
      </c>
      <c r="AD110" s="367" t="e">
        <f>RawMaterials[[#This Row],[Lab Price 3]]/RawMaterials[[#This Row],[Lab Q Model Units 3]]</f>
        <v>#N/A</v>
      </c>
      <c r="AE110" s="367" t="e">
        <f>RawMaterials[[#This Row],[Lab Price 4]]/RawMaterials[[#This Row],[Lab Q Model Units 4]]</f>
        <v>#N/A</v>
      </c>
      <c r="AF110" s="367" t="str">
        <f ca="1">IF(RawMaterials[[#This Row],[Lab Quote Count]]&gt;1,SLOPE(LOG(INDIRECT("RawMaterials[@[Lab Unit P 1]:[Lab Unit P "&amp;RawMaterials[[#This Row],[Lab Quote Count]]&amp;"]]")),LOG(INDIRECT("RawMaterials[@[Lab Q Model Units 1]:[Lab Q Model Units "&amp;RawMaterials[[#This Row],[Lab Quote Count]]&amp;"]]"))),"")</f>
        <v/>
      </c>
      <c r="AG110" s="367" t="str">
        <f ca="1">IF(RawMaterials[[#This Row],[Lab Quote Count]]&gt;1,INTERCEPT(LOG(INDIRECT("RawMaterials[@[Lab Unit P 1]:[Lab Unit P "&amp;RawMaterials[[#This Row],[Lab Quote Count]]&amp;"]]")),LOG(INDIRECT("RawMaterials[@[Lab Q Model Units 1]:[Lab Q Model Units "&amp;RawMaterials[[#This Row],[Lab Quote Count]]&amp;"]]"))),"")</f>
        <v/>
      </c>
      <c r="AH110" s="368" t="str">
        <f>IF(RawMaterials[[#This Row],[Material Type]]="Metal Precursor","D13",IF(RawMaterials[[#This Row],[Material Type]]="Ligand","D13","D12"))</f>
        <v>D12</v>
      </c>
      <c r="AI110" s="369" t="str">
        <f ca="1">IF(RawMaterials[[#This Row],[Lab Quote Count]]&gt;1,10^RawMaterials[[#This Row],[Lab Log-Log Intercept]]*INDIRECT(RawMaterials[[#This Row],[Basis Cell]])^RawMaterials[[#This Row],[Lab Log-Log Slope]],"&gt;&gt;&gt; Enter 2 or more lab quotes &lt;&lt;&lt;")</f>
        <v>&gt;&gt;&gt; Enter 2 or more lab quotes &lt;&lt;&lt;</v>
      </c>
      <c r="AJ1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0.95374999999999999</v>
      </c>
      <c r="AL110" s="372">
        <f>IF(ISTEXT(RawMaterials[[#This Row],[Unit price in quote year]]),"Check calcs",RawMaterials[[#This Row],[Unit price in quote year]]/VLOOKUP(RawMaterials[[#This Row],[Quote Year]],ChemPPI[],14,FALSE)*VLOOKUP(BasisYear,ChemPPI[],14,FALSE))</f>
        <v>1.2944442327235774</v>
      </c>
      <c r="AM110" s="373" t="str">
        <f t="shared" si="1"/>
        <v>$/lb (2016)</v>
      </c>
    </row>
    <row r="111" spans="1:39">
      <c r="A111" s="263" t="s">
        <v>1218</v>
      </c>
      <c r="B111" s="264"/>
      <c r="C111" s="271"/>
      <c r="D111" s="365"/>
      <c r="E111" s="264">
        <v>100</v>
      </c>
      <c r="F111" s="264"/>
      <c r="G111" s="271"/>
      <c r="H111" s="271"/>
      <c r="I111" s="268"/>
      <c r="J111" s="271"/>
      <c r="K111" s="271"/>
      <c r="L111" s="271"/>
      <c r="M111" s="271"/>
      <c r="N111" s="271"/>
      <c r="O111" s="271"/>
      <c r="P111" s="265">
        <v>63.875</v>
      </c>
      <c r="Q111" s="264">
        <v>100</v>
      </c>
      <c r="R111" s="264" t="s">
        <v>20</v>
      </c>
      <c r="S111" s="264">
        <v>2006</v>
      </c>
      <c r="T111" s="266" t="s">
        <v>163</v>
      </c>
      <c r="U111" s="267">
        <v>42653</v>
      </c>
      <c r="V111" s="269"/>
      <c r="W111" s="366">
        <f>COUNT(RawMaterials[[#This Row],[Lab Quantity 1]:[Lab Quantity 4]])</f>
        <v>0</v>
      </c>
      <c r="X1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1" s="367" t="e">
        <f>RawMaterials[[#This Row],[Lab Price 1]]/RawMaterials[[#This Row],[Lab Q Model Units 1]]</f>
        <v>#N/A</v>
      </c>
      <c r="AC111" s="367" t="e">
        <f>RawMaterials[[#This Row],[Lab Price 2]]/RawMaterials[[#This Row],[Lab Q Model Units 2]]</f>
        <v>#N/A</v>
      </c>
      <c r="AD111" s="367" t="e">
        <f>RawMaterials[[#This Row],[Lab Price 3]]/RawMaterials[[#This Row],[Lab Q Model Units 3]]</f>
        <v>#N/A</v>
      </c>
      <c r="AE111" s="367" t="e">
        <f>RawMaterials[[#This Row],[Lab Price 4]]/RawMaterials[[#This Row],[Lab Q Model Units 4]]</f>
        <v>#N/A</v>
      </c>
      <c r="AF111" s="367" t="str">
        <f ca="1">IF(RawMaterials[[#This Row],[Lab Quote Count]]&gt;1,SLOPE(LOG(INDIRECT("RawMaterials[@[Lab Unit P 1]:[Lab Unit P "&amp;RawMaterials[[#This Row],[Lab Quote Count]]&amp;"]]")),LOG(INDIRECT("RawMaterials[@[Lab Q Model Units 1]:[Lab Q Model Units "&amp;RawMaterials[[#This Row],[Lab Quote Count]]&amp;"]]"))),"")</f>
        <v/>
      </c>
      <c r="AG111" s="367" t="str">
        <f ca="1">IF(RawMaterials[[#This Row],[Lab Quote Count]]&gt;1,INTERCEPT(LOG(INDIRECT("RawMaterials[@[Lab Unit P 1]:[Lab Unit P "&amp;RawMaterials[[#This Row],[Lab Quote Count]]&amp;"]]")),LOG(INDIRECT("RawMaterials[@[Lab Q Model Units 1]:[Lab Q Model Units "&amp;RawMaterials[[#This Row],[Lab Quote Count]]&amp;"]]"))),"")</f>
        <v/>
      </c>
      <c r="AH111" s="368" t="str">
        <f>IF(RawMaterials[[#This Row],[Material Type]]="Metal Precursor","D13",IF(RawMaterials[[#This Row],[Material Type]]="Ligand","D13","D12"))</f>
        <v>D12</v>
      </c>
      <c r="AI111" s="369" t="str">
        <f ca="1">IF(RawMaterials[[#This Row],[Lab Quote Count]]&gt;1,10^RawMaterials[[#This Row],[Lab Log-Log Intercept]]*INDIRECT(RawMaterials[[#This Row],[Basis Cell]])^RawMaterials[[#This Row],[Lab Log-Log Slope]],"&gt;&gt;&gt; Enter 2 or more lab quotes &lt;&lt;&lt;")</f>
        <v>&gt;&gt;&gt; Enter 2 or more lab quotes &lt;&lt;&lt;</v>
      </c>
      <c r="AJ1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0.63875000000000004</v>
      </c>
      <c r="AL111" s="372">
        <f>IF(ISTEXT(RawMaterials[[#This Row],[Unit price in quote year]]),"Check calcs",RawMaterials[[#This Row],[Unit price in quote year]]/VLOOKUP(RawMaterials[[#This Row],[Quote Year]],ChemPPI[],14,FALSE)*VLOOKUP(BasisYear,ChemPPI[],14,FALSE))</f>
        <v>0.86692136686991894</v>
      </c>
      <c r="AM111" s="373" t="str">
        <f t="shared" si="1"/>
        <v>$/lb (2016)</v>
      </c>
    </row>
    <row r="112" spans="1:39">
      <c r="A112" s="263" t="s">
        <v>1219</v>
      </c>
      <c r="B112" s="264"/>
      <c r="C112" s="271"/>
      <c r="D112" s="365"/>
      <c r="E112" s="264">
        <v>100</v>
      </c>
      <c r="F112" s="264"/>
      <c r="G112" s="271"/>
      <c r="H112" s="271"/>
      <c r="I112" s="268"/>
      <c r="J112" s="271"/>
      <c r="K112" s="271"/>
      <c r="L112" s="271"/>
      <c r="M112" s="271"/>
      <c r="N112" s="271"/>
      <c r="O112" s="271"/>
      <c r="P112" s="265">
        <v>83</v>
      </c>
      <c r="Q112" s="264">
        <v>100</v>
      </c>
      <c r="R112" s="264" t="s">
        <v>20</v>
      </c>
      <c r="S112" s="264">
        <v>2006</v>
      </c>
      <c r="T112" s="266" t="s">
        <v>163</v>
      </c>
      <c r="U112" s="267">
        <v>42653</v>
      </c>
      <c r="V112" s="269"/>
      <c r="W112" s="366">
        <f>COUNT(RawMaterials[[#This Row],[Lab Quantity 1]:[Lab Quantity 4]])</f>
        <v>0</v>
      </c>
      <c r="X1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2" s="367" t="e">
        <f>RawMaterials[[#This Row],[Lab Price 1]]/RawMaterials[[#This Row],[Lab Q Model Units 1]]</f>
        <v>#N/A</v>
      </c>
      <c r="AC112" s="367" t="e">
        <f>RawMaterials[[#This Row],[Lab Price 2]]/RawMaterials[[#This Row],[Lab Q Model Units 2]]</f>
        <v>#N/A</v>
      </c>
      <c r="AD112" s="367" t="e">
        <f>RawMaterials[[#This Row],[Lab Price 3]]/RawMaterials[[#This Row],[Lab Q Model Units 3]]</f>
        <v>#N/A</v>
      </c>
      <c r="AE112" s="367" t="e">
        <f>RawMaterials[[#This Row],[Lab Price 4]]/RawMaterials[[#This Row],[Lab Q Model Units 4]]</f>
        <v>#N/A</v>
      </c>
      <c r="AF112" s="367" t="str">
        <f ca="1">IF(RawMaterials[[#This Row],[Lab Quote Count]]&gt;1,SLOPE(LOG(INDIRECT("RawMaterials[@[Lab Unit P 1]:[Lab Unit P "&amp;RawMaterials[[#This Row],[Lab Quote Count]]&amp;"]]")),LOG(INDIRECT("RawMaterials[@[Lab Q Model Units 1]:[Lab Q Model Units "&amp;RawMaterials[[#This Row],[Lab Quote Count]]&amp;"]]"))),"")</f>
        <v/>
      </c>
      <c r="AG112" s="367" t="str">
        <f ca="1">IF(RawMaterials[[#This Row],[Lab Quote Count]]&gt;1,INTERCEPT(LOG(INDIRECT("RawMaterials[@[Lab Unit P 1]:[Lab Unit P "&amp;RawMaterials[[#This Row],[Lab Quote Count]]&amp;"]]")),LOG(INDIRECT("RawMaterials[@[Lab Q Model Units 1]:[Lab Q Model Units "&amp;RawMaterials[[#This Row],[Lab Quote Count]]&amp;"]]"))),"")</f>
        <v/>
      </c>
      <c r="AH112" s="368" t="str">
        <f>IF(RawMaterials[[#This Row],[Material Type]]="Metal Precursor","D13",IF(RawMaterials[[#This Row],[Material Type]]="Ligand","D13","D12"))</f>
        <v>D12</v>
      </c>
      <c r="AI112" s="369" t="str">
        <f ca="1">IF(RawMaterials[[#This Row],[Lab Quote Count]]&gt;1,10^RawMaterials[[#This Row],[Lab Log-Log Intercept]]*INDIRECT(RawMaterials[[#This Row],[Basis Cell]])^RawMaterials[[#This Row],[Lab Log-Log Slope]],"&gt;&gt;&gt; Enter 2 or more lab quotes &lt;&lt;&lt;")</f>
        <v>&gt;&gt;&gt; Enter 2 or more lab quotes &lt;&lt;&lt;</v>
      </c>
      <c r="AJ1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112" s="372">
        <f>IF(ISTEXT(RawMaterials[[#This Row],[Unit price in quote year]]),"Check calcs",RawMaterials[[#This Row],[Unit price in quote year]]/VLOOKUP(RawMaterials[[#This Row],[Quote Year]],ChemPPI[],14,FALSE)*VLOOKUP(BasisYear,ChemPPI[],14,FALSE))</f>
        <v>1.1264888211382116</v>
      </c>
      <c r="AM112" s="373" t="str">
        <f t="shared" si="1"/>
        <v>$/lb (2016)</v>
      </c>
    </row>
    <row r="113" spans="1:39">
      <c r="A113" s="263" t="s">
        <v>1220</v>
      </c>
      <c r="B113" s="264"/>
      <c r="C113" s="271"/>
      <c r="D113" s="365"/>
      <c r="E113" s="264">
        <v>100</v>
      </c>
      <c r="F113" s="264"/>
      <c r="G113" s="271"/>
      <c r="H113" s="271"/>
      <c r="I113" s="268"/>
      <c r="J113" s="271"/>
      <c r="K113" s="271"/>
      <c r="L113" s="271"/>
      <c r="M113" s="271"/>
      <c r="N113" s="271"/>
      <c r="O113" s="271"/>
      <c r="P113" s="265">
        <v>229</v>
      </c>
      <c r="Q113" s="264">
        <v>1</v>
      </c>
      <c r="R113" s="264" t="s">
        <v>406</v>
      </c>
      <c r="S113" s="264">
        <v>2006</v>
      </c>
      <c r="T113" s="266" t="s">
        <v>163</v>
      </c>
      <c r="U113" s="267">
        <v>42653</v>
      </c>
      <c r="V113" s="269"/>
      <c r="W113" s="366">
        <f>COUNT(RawMaterials[[#This Row],[Lab Quantity 1]:[Lab Quantity 4]])</f>
        <v>0</v>
      </c>
      <c r="X1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3" s="367" t="e">
        <f>RawMaterials[[#This Row],[Lab Price 1]]/RawMaterials[[#This Row],[Lab Q Model Units 1]]</f>
        <v>#N/A</v>
      </c>
      <c r="AC113" s="367" t="e">
        <f>RawMaterials[[#This Row],[Lab Price 2]]/RawMaterials[[#This Row],[Lab Q Model Units 2]]</f>
        <v>#N/A</v>
      </c>
      <c r="AD113" s="367" t="e">
        <f>RawMaterials[[#This Row],[Lab Price 3]]/RawMaterials[[#This Row],[Lab Q Model Units 3]]</f>
        <v>#N/A</v>
      </c>
      <c r="AE113" s="367" t="e">
        <f>RawMaterials[[#This Row],[Lab Price 4]]/RawMaterials[[#This Row],[Lab Q Model Units 4]]</f>
        <v>#N/A</v>
      </c>
      <c r="AF113" s="367" t="str">
        <f ca="1">IF(RawMaterials[[#This Row],[Lab Quote Count]]&gt;1,SLOPE(LOG(INDIRECT("RawMaterials[@[Lab Unit P 1]:[Lab Unit P "&amp;RawMaterials[[#This Row],[Lab Quote Count]]&amp;"]]")),LOG(INDIRECT("RawMaterials[@[Lab Q Model Units 1]:[Lab Q Model Units "&amp;RawMaterials[[#This Row],[Lab Quote Count]]&amp;"]]"))),"")</f>
        <v/>
      </c>
      <c r="AG113" s="367" t="str">
        <f ca="1">IF(RawMaterials[[#This Row],[Lab Quote Count]]&gt;1,INTERCEPT(LOG(INDIRECT("RawMaterials[@[Lab Unit P 1]:[Lab Unit P "&amp;RawMaterials[[#This Row],[Lab Quote Count]]&amp;"]]")),LOG(INDIRECT("RawMaterials[@[Lab Q Model Units 1]:[Lab Q Model Units "&amp;RawMaterials[[#This Row],[Lab Quote Count]]&amp;"]]"))),"")</f>
        <v/>
      </c>
      <c r="AH113" s="368" t="str">
        <f>IF(RawMaterials[[#This Row],[Material Type]]="Metal Precursor","D13",IF(RawMaterials[[#This Row],[Material Type]]="Ligand","D13","D12"))</f>
        <v>D12</v>
      </c>
      <c r="AI113" s="369" t="str">
        <f ca="1">IF(RawMaterials[[#This Row],[Lab Quote Count]]&gt;1,10^RawMaterials[[#This Row],[Lab Log-Log Intercept]]*INDIRECT(RawMaterials[[#This Row],[Basis Cell]])^RawMaterials[[#This Row],[Lab Log-Log Slope]],"&gt;&gt;&gt; Enter 2 or more lab quotes &lt;&lt;&lt;")</f>
        <v>&gt;&gt;&gt; Enter 2 or more lab quotes &lt;&lt;&lt;</v>
      </c>
      <c r="AJ1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0.1145</v>
      </c>
      <c r="AL113" s="372">
        <f>IF(ISTEXT(RawMaterials[[#This Row],[Unit price in quote year]]),"Check calcs",RawMaterials[[#This Row],[Unit price in quote year]]/VLOOKUP(RawMaterials[[#This Row],[Quote Year]],ChemPPI[],14,FALSE)*VLOOKUP(BasisYear,ChemPPI[],14,FALSE))</f>
        <v>0.15540116869918702</v>
      </c>
      <c r="AM113" s="373" t="str">
        <f t="shared" si="1"/>
        <v>$/lb (2016)</v>
      </c>
    </row>
    <row r="114" spans="1:39">
      <c r="A114" s="263" t="s">
        <v>1221</v>
      </c>
      <c r="B114" s="264"/>
      <c r="C114" s="271"/>
      <c r="D114" s="365"/>
      <c r="E114" s="264">
        <v>100</v>
      </c>
      <c r="F114" s="264"/>
      <c r="G114" s="271"/>
      <c r="H114" s="271"/>
      <c r="I114" s="268"/>
      <c r="J114" s="271"/>
      <c r="K114" s="271"/>
      <c r="L114" s="271"/>
      <c r="M114" s="271"/>
      <c r="N114" s="271"/>
      <c r="O114" s="271"/>
      <c r="P114" s="265">
        <v>81</v>
      </c>
      <c r="Q114" s="264">
        <v>100</v>
      </c>
      <c r="R114" s="264" t="s">
        <v>20</v>
      </c>
      <c r="S114" s="264">
        <v>2006</v>
      </c>
      <c r="T114" s="266" t="s">
        <v>163</v>
      </c>
      <c r="U114" s="267">
        <v>42653</v>
      </c>
      <c r="V114" s="269"/>
      <c r="W114" s="366">
        <f>COUNT(RawMaterials[[#This Row],[Lab Quantity 1]:[Lab Quantity 4]])</f>
        <v>0</v>
      </c>
      <c r="X1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4" s="367" t="e">
        <f>RawMaterials[[#This Row],[Lab Price 1]]/RawMaterials[[#This Row],[Lab Q Model Units 1]]</f>
        <v>#N/A</v>
      </c>
      <c r="AC114" s="367" t="e">
        <f>RawMaterials[[#This Row],[Lab Price 2]]/RawMaterials[[#This Row],[Lab Q Model Units 2]]</f>
        <v>#N/A</v>
      </c>
      <c r="AD114" s="367" t="e">
        <f>RawMaterials[[#This Row],[Lab Price 3]]/RawMaterials[[#This Row],[Lab Q Model Units 3]]</f>
        <v>#N/A</v>
      </c>
      <c r="AE114" s="367" t="e">
        <f>RawMaterials[[#This Row],[Lab Price 4]]/RawMaterials[[#This Row],[Lab Q Model Units 4]]</f>
        <v>#N/A</v>
      </c>
      <c r="AF114" s="367" t="str">
        <f ca="1">IF(RawMaterials[[#This Row],[Lab Quote Count]]&gt;1,SLOPE(LOG(INDIRECT("RawMaterials[@[Lab Unit P 1]:[Lab Unit P "&amp;RawMaterials[[#This Row],[Lab Quote Count]]&amp;"]]")),LOG(INDIRECT("RawMaterials[@[Lab Q Model Units 1]:[Lab Q Model Units "&amp;RawMaterials[[#This Row],[Lab Quote Count]]&amp;"]]"))),"")</f>
        <v/>
      </c>
      <c r="AG114" s="367" t="str">
        <f ca="1">IF(RawMaterials[[#This Row],[Lab Quote Count]]&gt;1,INTERCEPT(LOG(INDIRECT("RawMaterials[@[Lab Unit P 1]:[Lab Unit P "&amp;RawMaterials[[#This Row],[Lab Quote Count]]&amp;"]]")),LOG(INDIRECT("RawMaterials[@[Lab Q Model Units 1]:[Lab Q Model Units "&amp;RawMaterials[[#This Row],[Lab Quote Count]]&amp;"]]"))),"")</f>
        <v/>
      </c>
      <c r="AH114" s="368" t="str">
        <f>IF(RawMaterials[[#This Row],[Material Type]]="Metal Precursor","D13",IF(RawMaterials[[#This Row],[Material Type]]="Ligand","D13","D12"))</f>
        <v>D12</v>
      </c>
      <c r="AI114" s="369" t="str">
        <f ca="1">IF(RawMaterials[[#This Row],[Lab Quote Count]]&gt;1,10^RawMaterials[[#This Row],[Lab Log-Log Intercept]]*INDIRECT(RawMaterials[[#This Row],[Basis Cell]])^RawMaterials[[#This Row],[Lab Log-Log Slope]],"&gt;&gt;&gt; Enter 2 or more lab quotes &lt;&lt;&lt;")</f>
        <v>&gt;&gt;&gt; Enter 2 or more lab quotes &lt;&lt;&lt;</v>
      </c>
      <c r="AJ1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v>
      </c>
      <c r="AL114" s="372">
        <f>IF(ISTEXT(RawMaterials[[#This Row],[Unit price in quote year]]),"Check calcs",RawMaterials[[#This Row],[Unit price in quote year]]/VLOOKUP(RawMaterials[[#This Row],[Quote Year]],ChemPPI[],14,FALSE)*VLOOKUP(BasisYear,ChemPPI[],14,FALSE))</f>
        <v>1.0993445121951224</v>
      </c>
      <c r="AM114" s="373" t="str">
        <f t="shared" si="1"/>
        <v>$/lb (2016)</v>
      </c>
    </row>
    <row r="115" spans="1:39">
      <c r="A115" s="263" t="s">
        <v>1222</v>
      </c>
      <c r="B115" s="264"/>
      <c r="C115" s="271"/>
      <c r="D115" s="365"/>
      <c r="E115" s="264">
        <v>100</v>
      </c>
      <c r="F115" s="264"/>
      <c r="G115" s="271"/>
      <c r="H115" s="271"/>
      <c r="I115" s="268"/>
      <c r="J115" s="271"/>
      <c r="K115" s="271"/>
      <c r="L115" s="271"/>
      <c r="M115" s="271"/>
      <c r="N115" s="271"/>
      <c r="O115" s="271"/>
      <c r="P115" s="265">
        <v>58.75</v>
      </c>
      <c r="Q115" s="264">
        <v>100</v>
      </c>
      <c r="R115" s="264" t="s">
        <v>20</v>
      </c>
      <c r="S115" s="264">
        <v>2006</v>
      </c>
      <c r="T115" s="266" t="s">
        <v>163</v>
      </c>
      <c r="U115" s="267">
        <v>42653</v>
      </c>
      <c r="V115" s="269"/>
      <c r="W115" s="366">
        <f>COUNT(RawMaterials[[#This Row],[Lab Quantity 1]:[Lab Quantity 4]])</f>
        <v>0</v>
      </c>
      <c r="X1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5" s="367" t="e">
        <f>RawMaterials[[#This Row],[Lab Price 1]]/RawMaterials[[#This Row],[Lab Q Model Units 1]]</f>
        <v>#N/A</v>
      </c>
      <c r="AC115" s="367" t="e">
        <f>RawMaterials[[#This Row],[Lab Price 2]]/RawMaterials[[#This Row],[Lab Q Model Units 2]]</f>
        <v>#N/A</v>
      </c>
      <c r="AD115" s="367" t="e">
        <f>RawMaterials[[#This Row],[Lab Price 3]]/RawMaterials[[#This Row],[Lab Q Model Units 3]]</f>
        <v>#N/A</v>
      </c>
      <c r="AE115" s="367" t="e">
        <f>RawMaterials[[#This Row],[Lab Price 4]]/RawMaterials[[#This Row],[Lab Q Model Units 4]]</f>
        <v>#N/A</v>
      </c>
      <c r="AF115" s="367" t="str">
        <f ca="1">IF(RawMaterials[[#This Row],[Lab Quote Count]]&gt;1,SLOPE(LOG(INDIRECT("RawMaterials[@[Lab Unit P 1]:[Lab Unit P "&amp;RawMaterials[[#This Row],[Lab Quote Count]]&amp;"]]")),LOG(INDIRECT("RawMaterials[@[Lab Q Model Units 1]:[Lab Q Model Units "&amp;RawMaterials[[#This Row],[Lab Quote Count]]&amp;"]]"))),"")</f>
        <v/>
      </c>
      <c r="AG115" s="367" t="str">
        <f ca="1">IF(RawMaterials[[#This Row],[Lab Quote Count]]&gt;1,INTERCEPT(LOG(INDIRECT("RawMaterials[@[Lab Unit P 1]:[Lab Unit P "&amp;RawMaterials[[#This Row],[Lab Quote Count]]&amp;"]]")),LOG(INDIRECT("RawMaterials[@[Lab Q Model Units 1]:[Lab Q Model Units "&amp;RawMaterials[[#This Row],[Lab Quote Count]]&amp;"]]"))),"")</f>
        <v/>
      </c>
      <c r="AH115" s="368" t="str">
        <f>IF(RawMaterials[[#This Row],[Material Type]]="Metal Precursor","D13",IF(RawMaterials[[#This Row],[Material Type]]="Ligand","D13","D12"))</f>
        <v>D12</v>
      </c>
      <c r="AI115" s="369" t="str">
        <f ca="1">IF(RawMaterials[[#This Row],[Lab Quote Count]]&gt;1,10^RawMaterials[[#This Row],[Lab Log-Log Intercept]]*INDIRECT(RawMaterials[[#This Row],[Basis Cell]])^RawMaterials[[#This Row],[Lab Log-Log Slope]],"&gt;&gt;&gt; Enter 2 or more lab quotes &lt;&lt;&lt;")</f>
        <v>&gt;&gt;&gt; Enter 2 or more lab quotes &lt;&lt;&lt;</v>
      </c>
      <c r="AJ1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0.58750000000000002</v>
      </c>
      <c r="AL115" s="372">
        <f>IF(ISTEXT(RawMaterials[[#This Row],[Unit price in quote year]]),"Check calcs",RawMaterials[[#This Row],[Unit price in quote year]]/VLOOKUP(RawMaterials[[#This Row],[Quote Year]],ChemPPI[],14,FALSE)*VLOOKUP(BasisYear,ChemPPI[],14,FALSE))</f>
        <v>0.79736407520325214</v>
      </c>
      <c r="AM115" s="373" t="str">
        <f t="shared" si="1"/>
        <v>$/lb (2016)</v>
      </c>
    </row>
    <row r="116" spans="1:39">
      <c r="A116" s="263" t="s">
        <v>1223</v>
      </c>
      <c r="B116" s="264"/>
      <c r="C116" s="271"/>
      <c r="D116" s="365"/>
      <c r="E116" s="264">
        <v>100</v>
      </c>
      <c r="F116" s="264"/>
      <c r="G116" s="271"/>
      <c r="H116" s="271"/>
      <c r="I116" s="268"/>
      <c r="J116" s="271"/>
      <c r="K116" s="271"/>
      <c r="L116" s="271"/>
      <c r="M116" s="271"/>
      <c r="N116" s="271"/>
      <c r="O116" s="271"/>
      <c r="P116" s="265">
        <v>39</v>
      </c>
      <c r="Q116" s="264">
        <v>100</v>
      </c>
      <c r="R116" s="264" t="s">
        <v>20</v>
      </c>
      <c r="S116" s="264">
        <v>2006</v>
      </c>
      <c r="T116" s="266" t="s">
        <v>163</v>
      </c>
      <c r="U116" s="267">
        <v>42653</v>
      </c>
      <c r="V116" s="269"/>
      <c r="W116" s="366">
        <f>COUNT(RawMaterials[[#This Row],[Lab Quantity 1]:[Lab Quantity 4]])</f>
        <v>0</v>
      </c>
      <c r="X1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6" s="367" t="e">
        <f>RawMaterials[[#This Row],[Lab Price 1]]/RawMaterials[[#This Row],[Lab Q Model Units 1]]</f>
        <v>#N/A</v>
      </c>
      <c r="AC116" s="367" t="e">
        <f>RawMaterials[[#This Row],[Lab Price 2]]/RawMaterials[[#This Row],[Lab Q Model Units 2]]</f>
        <v>#N/A</v>
      </c>
      <c r="AD116" s="367" t="e">
        <f>RawMaterials[[#This Row],[Lab Price 3]]/RawMaterials[[#This Row],[Lab Q Model Units 3]]</f>
        <v>#N/A</v>
      </c>
      <c r="AE116" s="367" t="e">
        <f>RawMaterials[[#This Row],[Lab Price 4]]/RawMaterials[[#This Row],[Lab Q Model Units 4]]</f>
        <v>#N/A</v>
      </c>
      <c r="AF116" s="367" t="str">
        <f ca="1">IF(RawMaterials[[#This Row],[Lab Quote Count]]&gt;1,SLOPE(LOG(INDIRECT("RawMaterials[@[Lab Unit P 1]:[Lab Unit P "&amp;RawMaterials[[#This Row],[Lab Quote Count]]&amp;"]]")),LOG(INDIRECT("RawMaterials[@[Lab Q Model Units 1]:[Lab Q Model Units "&amp;RawMaterials[[#This Row],[Lab Quote Count]]&amp;"]]"))),"")</f>
        <v/>
      </c>
      <c r="AG116" s="367" t="str">
        <f ca="1">IF(RawMaterials[[#This Row],[Lab Quote Count]]&gt;1,INTERCEPT(LOG(INDIRECT("RawMaterials[@[Lab Unit P 1]:[Lab Unit P "&amp;RawMaterials[[#This Row],[Lab Quote Count]]&amp;"]]")),LOG(INDIRECT("RawMaterials[@[Lab Q Model Units 1]:[Lab Q Model Units "&amp;RawMaterials[[#This Row],[Lab Quote Count]]&amp;"]]"))),"")</f>
        <v/>
      </c>
      <c r="AH116" s="368" t="str">
        <f>IF(RawMaterials[[#This Row],[Material Type]]="Metal Precursor","D13",IF(RawMaterials[[#This Row],[Material Type]]="Ligand","D13","D12"))</f>
        <v>D12</v>
      </c>
      <c r="AI116" s="369" t="str">
        <f ca="1">IF(RawMaterials[[#This Row],[Lab Quote Count]]&gt;1,10^RawMaterials[[#This Row],[Lab Log-Log Intercept]]*INDIRECT(RawMaterials[[#This Row],[Basis Cell]])^RawMaterials[[#This Row],[Lab Log-Log Slope]],"&gt;&gt;&gt; Enter 2 or more lab quotes &lt;&lt;&lt;")</f>
        <v>&gt;&gt;&gt; Enter 2 or more lab quotes &lt;&lt;&lt;</v>
      </c>
      <c r="AJ1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16" s="372">
        <f>IF(ISTEXT(RawMaterials[[#This Row],[Unit price in quote year]]),"Check calcs",RawMaterials[[#This Row],[Unit price in quote year]]/VLOOKUP(RawMaterials[[#This Row],[Quote Year]],ChemPPI[],14,FALSE)*VLOOKUP(BasisYear,ChemPPI[],14,FALSE))</f>
        <v>0.529314024390244</v>
      </c>
      <c r="AM116" s="373" t="str">
        <f t="shared" si="1"/>
        <v>$/lb (2016)</v>
      </c>
    </row>
    <row r="117" spans="1:39">
      <c r="A117" s="263" t="s">
        <v>1224</v>
      </c>
      <c r="B117" s="264"/>
      <c r="C117" s="271"/>
      <c r="D117" s="365"/>
      <c r="E117" s="264">
        <v>100</v>
      </c>
      <c r="F117" s="264"/>
      <c r="G117" s="271"/>
      <c r="H117" s="271"/>
      <c r="I117" s="268"/>
      <c r="J117" s="271"/>
      <c r="K117" s="271"/>
      <c r="L117" s="271"/>
      <c r="M117" s="271"/>
      <c r="N117" s="271"/>
      <c r="O117" s="271"/>
      <c r="P117" s="265">
        <v>0.95</v>
      </c>
      <c r="Q117" s="264">
        <v>1</v>
      </c>
      <c r="R117" s="264" t="s">
        <v>20</v>
      </c>
      <c r="S117" s="264">
        <v>2006</v>
      </c>
      <c r="T117" s="266" t="s">
        <v>163</v>
      </c>
      <c r="U117" s="267">
        <v>42653</v>
      </c>
      <c r="V117" s="269"/>
      <c r="W117" s="366">
        <f>COUNT(RawMaterials[[#This Row],[Lab Quantity 1]:[Lab Quantity 4]])</f>
        <v>0</v>
      </c>
      <c r="X1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7" s="367" t="e">
        <f>RawMaterials[[#This Row],[Lab Price 1]]/RawMaterials[[#This Row],[Lab Q Model Units 1]]</f>
        <v>#N/A</v>
      </c>
      <c r="AC117" s="367" t="e">
        <f>RawMaterials[[#This Row],[Lab Price 2]]/RawMaterials[[#This Row],[Lab Q Model Units 2]]</f>
        <v>#N/A</v>
      </c>
      <c r="AD117" s="367" t="e">
        <f>RawMaterials[[#This Row],[Lab Price 3]]/RawMaterials[[#This Row],[Lab Q Model Units 3]]</f>
        <v>#N/A</v>
      </c>
      <c r="AE117" s="367" t="e">
        <f>RawMaterials[[#This Row],[Lab Price 4]]/RawMaterials[[#This Row],[Lab Q Model Units 4]]</f>
        <v>#N/A</v>
      </c>
      <c r="AF117" s="367" t="str">
        <f ca="1">IF(RawMaterials[[#This Row],[Lab Quote Count]]&gt;1,SLOPE(LOG(INDIRECT("RawMaterials[@[Lab Unit P 1]:[Lab Unit P "&amp;RawMaterials[[#This Row],[Lab Quote Count]]&amp;"]]")),LOG(INDIRECT("RawMaterials[@[Lab Q Model Units 1]:[Lab Q Model Units "&amp;RawMaterials[[#This Row],[Lab Quote Count]]&amp;"]]"))),"")</f>
        <v/>
      </c>
      <c r="AG117" s="367" t="str">
        <f ca="1">IF(RawMaterials[[#This Row],[Lab Quote Count]]&gt;1,INTERCEPT(LOG(INDIRECT("RawMaterials[@[Lab Unit P 1]:[Lab Unit P "&amp;RawMaterials[[#This Row],[Lab Quote Count]]&amp;"]]")),LOG(INDIRECT("RawMaterials[@[Lab Q Model Units 1]:[Lab Q Model Units "&amp;RawMaterials[[#This Row],[Lab Quote Count]]&amp;"]]"))),"")</f>
        <v/>
      </c>
      <c r="AH117" s="368" t="str">
        <f>IF(RawMaterials[[#This Row],[Material Type]]="Metal Precursor","D13",IF(RawMaterials[[#This Row],[Material Type]]="Ligand","D13","D12"))</f>
        <v>D12</v>
      </c>
      <c r="AI117" s="369" t="str">
        <f ca="1">IF(RawMaterials[[#This Row],[Lab Quote Count]]&gt;1,10^RawMaterials[[#This Row],[Lab Log-Log Intercept]]*INDIRECT(RawMaterials[[#This Row],[Basis Cell]])^RawMaterials[[#This Row],[Lab Log-Log Slope]],"&gt;&gt;&gt; Enter 2 or more lab quotes &lt;&lt;&lt;")</f>
        <v>&gt;&gt;&gt; Enter 2 or more lab quotes &lt;&lt;&lt;</v>
      </c>
      <c r="AJ1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17" s="372">
        <f>IF(ISTEXT(RawMaterials[[#This Row],[Unit price in quote year]]),"Check calcs",RawMaterials[[#This Row],[Unit price in quote year]]/VLOOKUP(RawMaterials[[#This Row],[Quote Year]],ChemPPI[],14,FALSE)*VLOOKUP(BasisYear,ChemPPI[],14,FALSE))</f>
        <v>1.2893546747967481</v>
      </c>
      <c r="AM117" s="373" t="str">
        <f t="shared" si="1"/>
        <v>$/lb (2016)</v>
      </c>
    </row>
    <row r="118" spans="1:39">
      <c r="A118" s="263" t="s">
        <v>1225</v>
      </c>
      <c r="B118" s="264"/>
      <c r="C118" s="271"/>
      <c r="D118" s="365"/>
      <c r="E118" s="264">
        <v>100</v>
      </c>
      <c r="F118" s="264"/>
      <c r="G118" s="271"/>
      <c r="H118" s="271"/>
      <c r="I118" s="268"/>
      <c r="J118" s="271"/>
      <c r="K118" s="271"/>
      <c r="L118" s="271"/>
      <c r="M118" s="271"/>
      <c r="N118" s="271"/>
      <c r="O118" s="271"/>
      <c r="P118" s="265">
        <v>0.85</v>
      </c>
      <c r="Q118" s="264">
        <v>1</v>
      </c>
      <c r="R118" s="264" t="s">
        <v>20</v>
      </c>
      <c r="S118" s="264">
        <v>2006</v>
      </c>
      <c r="T118" s="266" t="s">
        <v>163</v>
      </c>
      <c r="U118" s="267">
        <v>42653</v>
      </c>
      <c r="V118" s="269"/>
      <c r="W118" s="366">
        <f>COUNT(RawMaterials[[#This Row],[Lab Quantity 1]:[Lab Quantity 4]])</f>
        <v>0</v>
      </c>
      <c r="X1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8" s="367" t="e">
        <f>RawMaterials[[#This Row],[Lab Price 1]]/RawMaterials[[#This Row],[Lab Q Model Units 1]]</f>
        <v>#N/A</v>
      </c>
      <c r="AC118" s="367" t="e">
        <f>RawMaterials[[#This Row],[Lab Price 2]]/RawMaterials[[#This Row],[Lab Q Model Units 2]]</f>
        <v>#N/A</v>
      </c>
      <c r="AD118" s="367" t="e">
        <f>RawMaterials[[#This Row],[Lab Price 3]]/RawMaterials[[#This Row],[Lab Q Model Units 3]]</f>
        <v>#N/A</v>
      </c>
      <c r="AE118" s="367" t="e">
        <f>RawMaterials[[#This Row],[Lab Price 4]]/RawMaterials[[#This Row],[Lab Q Model Units 4]]</f>
        <v>#N/A</v>
      </c>
      <c r="AF118" s="367" t="str">
        <f ca="1">IF(RawMaterials[[#This Row],[Lab Quote Count]]&gt;1,SLOPE(LOG(INDIRECT("RawMaterials[@[Lab Unit P 1]:[Lab Unit P "&amp;RawMaterials[[#This Row],[Lab Quote Count]]&amp;"]]")),LOG(INDIRECT("RawMaterials[@[Lab Q Model Units 1]:[Lab Q Model Units "&amp;RawMaterials[[#This Row],[Lab Quote Count]]&amp;"]]"))),"")</f>
        <v/>
      </c>
      <c r="AG118" s="367" t="str">
        <f ca="1">IF(RawMaterials[[#This Row],[Lab Quote Count]]&gt;1,INTERCEPT(LOG(INDIRECT("RawMaterials[@[Lab Unit P 1]:[Lab Unit P "&amp;RawMaterials[[#This Row],[Lab Quote Count]]&amp;"]]")),LOG(INDIRECT("RawMaterials[@[Lab Q Model Units 1]:[Lab Q Model Units "&amp;RawMaterials[[#This Row],[Lab Quote Count]]&amp;"]]"))),"")</f>
        <v/>
      </c>
      <c r="AH118" s="368" t="str">
        <f>IF(RawMaterials[[#This Row],[Material Type]]="Metal Precursor","D13",IF(RawMaterials[[#This Row],[Material Type]]="Ligand","D13","D12"))</f>
        <v>D12</v>
      </c>
      <c r="AI118" s="369" t="str">
        <f ca="1">IF(RawMaterials[[#This Row],[Lab Quote Count]]&gt;1,10^RawMaterials[[#This Row],[Lab Log-Log Intercept]]*INDIRECT(RawMaterials[[#This Row],[Basis Cell]])^RawMaterials[[#This Row],[Lab Log-Log Slope]],"&gt;&gt;&gt; Enter 2 or more lab quotes &lt;&lt;&lt;")</f>
        <v>&gt;&gt;&gt; Enter 2 or more lab quotes &lt;&lt;&lt;</v>
      </c>
      <c r="AJ1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118" s="372">
        <f>IF(ISTEXT(RawMaterials[[#This Row],[Unit price in quote year]]),"Check calcs",RawMaterials[[#This Row],[Unit price in quote year]]/VLOOKUP(RawMaterials[[#This Row],[Quote Year]],ChemPPI[],14,FALSE)*VLOOKUP(BasisYear,ChemPPI[],14,FALSE))</f>
        <v>1.153633130081301</v>
      </c>
      <c r="AM118" s="373" t="str">
        <f t="shared" si="1"/>
        <v>$/lb (2016)</v>
      </c>
    </row>
    <row r="119" spans="1:39">
      <c r="A119" s="263" t="s">
        <v>1226</v>
      </c>
      <c r="B119" s="264"/>
      <c r="C119" s="271"/>
      <c r="D119" s="365"/>
      <c r="E119" s="264">
        <v>100</v>
      </c>
      <c r="F119" s="264"/>
      <c r="G119" s="271"/>
      <c r="H119" s="271"/>
      <c r="I119" s="268"/>
      <c r="J119" s="271"/>
      <c r="K119" s="271"/>
      <c r="L119" s="271"/>
      <c r="M119" s="271"/>
      <c r="N119" s="271"/>
      <c r="O119" s="271"/>
      <c r="P119" s="265">
        <v>0.5</v>
      </c>
      <c r="Q119" s="264">
        <v>1</v>
      </c>
      <c r="R119" s="264" t="s">
        <v>20</v>
      </c>
      <c r="S119" s="264">
        <v>2006</v>
      </c>
      <c r="T119" s="266" t="s">
        <v>163</v>
      </c>
      <c r="U119" s="267">
        <v>42653</v>
      </c>
      <c r="V119" s="269"/>
      <c r="W119" s="366">
        <f>COUNT(RawMaterials[[#This Row],[Lab Quantity 1]:[Lab Quantity 4]])</f>
        <v>0</v>
      </c>
      <c r="X1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19" s="367" t="e">
        <f>RawMaterials[[#This Row],[Lab Price 1]]/RawMaterials[[#This Row],[Lab Q Model Units 1]]</f>
        <v>#N/A</v>
      </c>
      <c r="AC119" s="367" t="e">
        <f>RawMaterials[[#This Row],[Lab Price 2]]/RawMaterials[[#This Row],[Lab Q Model Units 2]]</f>
        <v>#N/A</v>
      </c>
      <c r="AD119" s="367" t="e">
        <f>RawMaterials[[#This Row],[Lab Price 3]]/RawMaterials[[#This Row],[Lab Q Model Units 3]]</f>
        <v>#N/A</v>
      </c>
      <c r="AE119" s="367" t="e">
        <f>RawMaterials[[#This Row],[Lab Price 4]]/RawMaterials[[#This Row],[Lab Q Model Units 4]]</f>
        <v>#N/A</v>
      </c>
      <c r="AF119" s="367" t="str">
        <f ca="1">IF(RawMaterials[[#This Row],[Lab Quote Count]]&gt;1,SLOPE(LOG(INDIRECT("RawMaterials[@[Lab Unit P 1]:[Lab Unit P "&amp;RawMaterials[[#This Row],[Lab Quote Count]]&amp;"]]")),LOG(INDIRECT("RawMaterials[@[Lab Q Model Units 1]:[Lab Q Model Units "&amp;RawMaterials[[#This Row],[Lab Quote Count]]&amp;"]]"))),"")</f>
        <v/>
      </c>
      <c r="AG119" s="367" t="str">
        <f ca="1">IF(RawMaterials[[#This Row],[Lab Quote Count]]&gt;1,INTERCEPT(LOG(INDIRECT("RawMaterials[@[Lab Unit P 1]:[Lab Unit P "&amp;RawMaterials[[#This Row],[Lab Quote Count]]&amp;"]]")),LOG(INDIRECT("RawMaterials[@[Lab Q Model Units 1]:[Lab Q Model Units "&amp;RawMaterials[[#This Row],[Lab Quote Count]]&amp;"]]"))),"")</f>
        <v/>
      </c>
      <c r="AH119" s="368" t="str">
        <f>IF(RawMaterials[[#This Row],[Material Type]]="Metal Precursor","D13",IF(RawMaterials[[#This Row],[Material Type]]="Ligand","D13","D12"))</f>
        <v>D12</v>
      </c>
      <c r="AI119" s="369" t="str">
        <f ca="1">IF(RawMaterials[[#This Row],[Lab Quote Count]]&gt;1,10^RawMaterials[[#This Row],[Lab Log-Log Intercept]]*INDIRECT(RawMaterials[[#This Row],[Basis Cell]])^RawMaterials[[#This Row],[Lab Log-Log Slope]],"&gt;&gt;&gt; Enter 2 or more lab quotes &lt;&lt;&lt;")</f>
        <v>&gt;&gt;&gt; Enter 2 or more lab quotes &lt;&lt;&lt;</v>
      </c>
      <c r="AJ1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19" s="372">
        <f>IF(ISTEXT(RawMaterials[[#This Row],[Unit price in quote year]]),"Check calcs",RawMaterials[[#This Row],[Unit price in quote year]]/VLOOKUP(RawMaterials[[#This Row],[Quote Year]],ChemPPI[],14,FALSE)*VLOOKUP(BasisYear,ChemPPI[],14,FALSE))</f>
        <v>0.67860772357723598</v>
      </c>
      <c r="AM119" s="373" t="str">
        <f t="shared" si="1"/>
        <v>$/lb (2016)</v>
      </c>
    </row>
    <row r="120" spans="1:39">
      <c r="A120" s="263" t="s">
        <v>1227</v>
      </c>
      <c r="B120" s="264"/>
      <c r="C120" s="271"/>
      <c r="D120" s="365"/>
      <c r="E120" s="264">
        <v>100</v>
      </c>
      <c r="F120" s="264"/>
      <c r="G120" s="271"/>
      <c r="H120" s="271"/>
      <c r="I120" s="268"/>
      <c r="J120" s="271"/>
      <c r="K120" s="271"/>
      <c r="L120" s="271"/>
      <c r="M120" s="271"/>
      <c r="N120" s="271"/>
      <c r="O120" s="271"/>
      <c r="P120" s="265">
        <v>0.5</v>
      </c>
      <c r="Q120" s="264">
        <v>1</v>
      </c>
      <c r="R120" s="264" t="s">
        <v>20</v>
      </c>
      <c r="S120" s="264">
        <v>2006</v>
      </c>
      <c r="T120" s="266" t="s">
        <v>163</v>
      </c>
      <c r="U120" s="267">
        <v>42653</v>
      </c>
      <c r="V120" s="269"/>
      <c r="W120" s="366">
        <f>COUNT(RawMaterials[[#This Row],[Lab Quantity 1]:[Lab Quantity 4]])</f>
        <v>0</v>
      </c>
      <c r="X1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0" s="367" t="e">
        <f>RawMaterials[[#This Row],[Lab Price 1]]/RawMaterials[[#This Row],[Lab Q Model Units 1]]</f>
        <v>#N/A</v>
      </c>
      <c r="AC120" s="367" t="e">
        <f>RawMaterials[[#This Row],[Lab Price 2]]/RawMaterials[[#This Row],[Lab Q Model Units 2]]</f>
        <v>#N/A</v>
      </c>
      <c r="AD120" s="367" t="e">
        <f>RawMaterials[[#This Row],[Lab Price 3]]/RawMaterials[[#This Row],[Lab Q Model Units 3]]</f>
        <v>#N/A</v>
      </c>
      <c r="AE120" s="367" t="e">
        <f>RawMaterials[[#This Row],[Lab Price 4]]/RawMaterials[[#This Row],[Lab Q Model Units 4]]</f>
        <v>#N/A</v>
      </c>
      <c r="AF120" s="367" t="str">
        <f ca="1">IF(RawMaterials[[#This Row],[Lab Quote Count]]&gt;1,SLOPE(LOG(INDIRECT("RawMaterials[@[Lab Unit P 1]:[Lab Unit P "&amp;RawMaterials[[#This Row],[Lab Quote Count]]&amp;"]]")),LOG(INDIRECT("RawMaterials[@[Lab Q Model Units 1]:[Lab Q Model Units "&amp;RawMaterials[[#This Row],[Lab Quote Count]]&amp;"]]"))),"")</f>
        <v/>
      </c>
      <c r="AG120" s="367" t="str">
        <f ca="1">IF(RawMaterials[[#This Row],[Lab Quote Count]]&gt;1,INTERCEPT(LOG(INDIRECT("RawMaterials[@[Lab Unit P 1]:[Lab Unit P "&amp;RawMaterials[[#This Row],[Lab Quote Count]]&amp;"]]")),LOG(INDIRECT("RawMaterials[@[Lab Q Model Units 1]:[Lab Q Model Units "&amp;RawMaterials[[#This Row],[Lab Quote Count]]&amp;"]]"))),"")</f>
        <v/>
      </c>
      <c r="AH120" s="368" t="str">
        <f>IF(RawMaterials[[#This Row],[Material Type]]="Metal Precursor","D13",IF(RawMaterials[[#This Row],[Material Type]]="Ligand","D13","D12"))</f>
        <v>D12</v>
      </c>
      <c r="AI120" s="369" t="str">
        <f ca="1">IF(RawMaterials[[#This Row],[Lab Quote Count]]&gt;1,10^RawMaterials[[#This Row],[Lab Log-Log Intercept]]*INDIRECT(RawMaterials[[#This Row],[Basis Cell]])^RawMaterials[[#This Row],[Lab Log-Log Slope]],"&gt;&gt;&gt; Enter 2 or more lab quotes &lt;&lt;&lt;")</f>
        <v>&gt;&gt;&gt; Enter 2 or more lab quotes &lt;&lt;&lt;</v>
      </c>
      <c r="AJ1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120" s="372">
        <f>IF(ISTEXT(RawMaterials[[#This Row],[Unit price in quote year]]),"Check calcs",RawMaterials[[#This Row],[Unit price in quote year]]/VLOOKUP(RawMaterials[[#This Row],[Quote Year]],ChemPPI[],14,FALSE)*VLOOKUP(BasisYear,ChemPPI[],14,FALSE))</f>
        <v>0.67860772357723598</v>
      </c>
      <c r="AM120" s="373" t="str">
        <f t="shared" si="1"/>
        <v>$/lb (2016)</v>
      </c>
    </row>
    <row r="121" spans="1:39">
      <c r="A121" s="263" t="s">
        <v>1228</v>
      </c>
      <c r="B121" s="264"/>
      <c r="C121" s="271"/>
      <c r="D121" s="365"/>
      <c r="E121" s="264">
        <v>100</v>
      </c>
      <c r="F121" s="264"/>
      <c r="G121" s="271"/>
      <c r="H121" s="271"/>
      <c r="I121" s="268"/>
      <c r="J121" s="271"/>
      <c r="K121" s="271"/>
      <c r="L121" s="271"/>
      <c r="M121" s="271"/>
      <c r="N121" s="271"/>
      <c r="O121" s="271"/>
      <c r="P121" s="265">
        <v>14.625</v>
      </c>
      <c r="Q121" s="264">
        <v>100</v>
      </c>
      <c r="R121" s="264" t="s">
        <v>20</v>
      </c>
      <c r="S121" s="264">
        <v>2006</v>
      </c>
      <c r="T121" s="266" t="s">
        <v>163</v>
      </c>
      <c r="U121" s="267">
        <v>42653</v>
      </c>
      <c r="V121" s="269"/>
      <c r="W121" s="366">
        <f>COUNT(RawMaterials[[#This Row],[Lab Quantity 1]:[Lab Quantity 4]])</f>
        <v>0</v>
      </c>
      <c r="X1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1" s="367" t="e">
        <f>RawMaterials[[#This Row],[Lab Price 1]]/RawMaterials[[#This Row],[Lab Q Model Units 1]]</f>
        <v>#N/A</v>
      </c>
      <c r="AC121" s="367" t="e">
        <f>RawMaterials[[#This Row],[Lab Price 2]]/RawMaterials[[#This Row],[Lab Q Model Units 2]]</f>
        <v>#N/A</v>
      </c>
      <c r="AD121" s="367" t="e">
        <f>RawMaterials[[#This Row],[Lab Price 3]]/RawMaterials[[#This Row],[Lab Q Model Units 3]]</f>
        <v>#N/A</v>
      </c>
      <c r="AE121" s="367" t="e">
        <f>RawMaterials[[#This Row],[Lab Price 4]]/RawMaterials[[#This Row],[Lab Q Model Units 4]]</f>
        <v>#N/A</v>
      </c>
      <c r="AF121" s="367" t="str">
        <f ca="1">IF(RawMaterials[[#This Row],[Lab Quote Count]]&gt;1,SLOPE(LOG(INDIRECT("RawMaterials[@[Lab Unit P 1]:[Lab Unit P "&amp;RawMaterials[[#This Row],[Lab Quote Count]]&amp;"]]")),LOG(INDIRECT("RawMaterials[@[Lab Q Model Units 1]:[Lab Q Model Units "&amp;RawMaterials[[#This Row],[Lab Quote Count]]&amp;"]]"))),"")</f>
        <v/>
      </c>
      <c r="AG121" s="367" t="str">
        <f ca="1">IF(RawMaterials[[#This Row],[Lab Quote Count]]&gt;1,INTERCEPT(LOG(INDIRECT("RawMaterials[@[Lab Unit P 1]:[Lab Unit P "&amp;RawMaterials[[#This Row],[Lab Quote Count]]&amp;"]]")),LOG(INDIRECT("RawMaterials[@[Lab Q Model Units 1]:[Lab Q Model Units "&amp;RawMaterials[[#This Row],[Lab Quote Count]]&amp;"]]"))),"")</f>
        <v/>
      </c>
      <c r="AH121" s="368" t="str">
        <f>IF(RawMaterials[[#This Row],[Material Type]]="Metal Precursor","D13",IF(RawMaterials[[#This Row],[Material Type]]="Ligand","D13","D12"))</f>
        <v>D12</v>
      </c>
      <c r="AI121" s="369" t="str">
        <f ca="1">IF(RawMaterials[[#This Row],[Lab Quote Count]]&gt;1,10^RawMaterials[[#This Row],[Lab Log-Log Intercept]]*INDIRECT(RawMaterials[[#This Row],[Basis Cell]])^RawMaterials[[#This Row],[Lab Log-Log Slope]],"&gt;&gt;&gt; Enter 2 or more lab quotes &lt;&lt;&lt;")</f>
        <v>&gt;&gt;&gt; Enter 2 or more lab quotes &lt;&lt;&lt;</v>
      </c>
      <c r="AJ1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0.14624999999999999</v>
      </c>
      <c r="AL121" s="372">
        <f>IF(ISTEXT(RawMaterials[[#This Row],[Unit price in quote year]]),"Check calcs",RawMaterials[[#This Row],[Unit price in quote year]]/VLOOKUP(RawMaterials[[#This Row],[Quote Year]],ChemPPI[],14,FALSE)*VLOOKUP(BasisYear,ChemPPI[],14,FALSE))</f>
        <v>0.19849275914634149</v>
      </c>
      <c r="AM121" s="373" t="str">
        <f t="shared" si="1"/>
        <v>$/lb (2016)</v>
      </c>
    </row>
    <row r="122" spans="1:39">
      <c r="A122" s="263" t="s">
        <v>1229</v>
      </c>
      <c r="B122" s="264"/>
      <c r="C122" s="271"/>
      <c r="D122" s="365"/>
      <c r="E122" s="264">
        <v>100</v>
      </c>
      <c r="F122" s="264"/>
      <c r="G122" s="271"/>
      <c r="H122" s="271"/>
      <c r="I122" s="268"/>
      <c r="J122" s="271"/>
      <c r="K122" s="271"/>
      <c r="L122" s="271"/>
      <c r="M122" s="271"/>
      <c r="N122" s="271"/>
      <c r="O122" s="271"/>
      <c r="P122" s="265">
        <v>44</v>
      </c>
      <c r="Q122" s="264">
        <v>100</v>
      </c>
      <c r="R122" s="264" t="s">
        <v>20</v>
      </c>
      <c r="S122" s="264">
        <v>2006</v>
      </c>
      <c r="T122" s="266" t="s">
        <v>163</v>
      </c>
      <c r="U122" s="267">
        <v>42653</v>
      </c>
      <c r="V122" s="269"/>
      <c r="W122" s="366">
        <f>COUNT(RawMaterials[[#This Row],[Lab Quantity 1]:[Lab Quantity 4]])</f>
        <v>0</v>
      </c>
      <c r="X1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2" s="367" t="e">
        <f>RawMaterials[[#This Row],[Lab Price 1]]/RawMaterials[[#This Row],[Lab Q Model Units 1]]</f>
        <v>#N/A</v>
      </c>
      <c r="AC122" s="367" t="e">
        <f>RawMaterials[[#This Row],[Lab Price 2]]/RawMaterials[[#This Row],[Lab Q Model Units 2]]</f>
        <v>#N/A</v>
      </c>
      <c r="AD122" s="367" t="e">
        <f>RawMaterials[[#This Row],[Lab Price 3]]/RawMaterials[[#This Row],[Lab Q Model Units 3]]</f>
        <v>#N/A</v>
      </c>
      <c r="AE122" s="367" t="e">
        <f>RawMaterials[[#This Row],[Lab Price 4]]/RawMaterials[[#This Row],[Lab Q Model Units 4]]</f>
        <v>#N/A</v>
      </c>
      <c r="AF122" s="367" t="str">
        <f ca="1">IF(RawMaterials[[#This Row],[Lab Quote Count]]&gt;1,SLOPE(LOG(INDIRECT("RawMaterials[@[Lab Unit P 1]:[Lab Unit P "&amp;RawMaterials[[#This Row],[Lab Quote Count]]&amp;"]]")),LOG(INDIRECT("RawMaterials[@[Lab Q Model Units 1]:[Lab Q Model Units "&amp;RawMaterials[[#This Row],[Lab Quote Count]]&amp;"]]"))),"")</f>
        <v/>
      </c>
      <c r="AG122" s="367" t="str">
        <f ca="1">IF(RawMaterials[[#This Row],[Lab Quote Count]]&gt;1,INTERCEPT(LOG(INDIRECT("RawMaterials[@[Lab Unit P 1]:[Lab Unit P "&amp;RawMaterials[[#This Row],[Lab Quote Count]]&amp;"]]")),LOG(INDIRECT("RawMaterials[@[Lab Q Model Units 1]:[Lab Q Model Units "&amp;RawMaterials[[#This Row],[Lab Quote Count]]&amp;"]]"))),"")</f>
        <v/>
      </c>
      <c r="AH122" s="368" t="str">
        <f>IF(RawMaterials[[#This Row],[Material Type]]="Metal Precursor","D13",IF(RawMaterials[[#This Row],[Material Type]]="Ligand","D13","D12"))</f>
        <v>D12</v>
      </c>
      <c r="AI122" s="369" t="str">
        <f ca="1">IF(RawMaterials[[#This Row],[Lab Quote Count]]&gt;1,10^RawMaterials[[#This Row],[Lab Log-Log Intercept]]*INDIRECT(RawMaterials[[#This Row],[Basis Cell]])^RawMaterials[[#This Row],[Lab Log-Log Slope]],"&gt;&gt;&gt; Enter 2 or more lab quotes &lt;&lt;&lt;")</f>
        <v>&gt;&gt;&gt; Enter 2 or more lab quotes &lt;&lt;&lt;</v>
      </c>
      <c r="AJ1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1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0.44</v>
      </c>
      <c r="AL122" s="372">
        <f>IF(ISTEXT(RawMaterials[[#This Row],[Unit price in quote year]]),"Check calcs",RawMaterials[[#This Row],[Unit price in quote year]]/VLOOKUP(RawMaterials[[#This Row],[Quote Year]],ChemPPI[],14,FALSE)*VLOOKUP(BasisYear,ChemPPI[],14,FALSE))</f>
        <v>0.59717479674796758</v>
      </c>
      <c r="AM122" s="373" t="str">
        <f t="shared" si="1"/>
        <v>$/lb (2016)</v>
      </c>
    </row>
    <row r="123" spans="1:39">
      <c r="A123" s="263" t="s">
        <v>1230</v>
      </c>
      <c r="B123" s="264"/>
      <c r="C123" s="271"/>
      <c r="D123" s="365"/>
      <c r="E123" s="264">
        <v>100</v>
      </c>
      <c r="F123" s="264"/>
      <c r="G123" s="271"/>
      <c r="H123" s="271"/>
      <c r="I123" s="268"/>
      <c r="J123" s="271"/>
      <c r="K123" s="271"/>
      <c r="L123" s="271"/>
      <c r="M123" s="271"/>
      <c r="N123" s="271"/>
      <c r="O123" s="271"/>
      <c r="P123" s="265">
        <v>658.75</v>
      </c>
      <c r="Q123" s="264">
        <v>1</v>
      </c>
      <c r="R123" s="264" t="s">
        <v>406</v>
      </c>
      <c r="S123" s="264">
        <v>2008</v>
      </c>
      <c r="T123" s="266" t="s">
        <v>163</v>
      </c>
      <c r="U123" s="267">
        <v>42653</v>
      </c>
      <c r="V123" s="269"/>
      <c r="W123" s="366">
        <f>COUNT(RawMaterials[[#This Row],[Lab Quantity 1]:[Lab Quantity 4]])</f>
        <v>0</v>
      </c>
      <c r="X1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3" s="367" t="e">
        <f>RawMaterials[[#This Row],[Lab Price 1]]/RawMaterials[[#This Row],[Lab Q Model Units 1]]</f>
        <v>#N/A</v>
      </c>
      <c r="AC123" s="367" t="e">
        <f>RawMaterials[[#This Row],[Lab Price 2]]/RawMaterials[[#This Row],[Lab Q Model Units 2]]</f>
        <v>#N/A</v>
      </c>
      <c r="AD123" s="367" t="e">
        <f>RawMaterials[[#This Row],[Lab Price 3]]/RawMaterials[[#This Row],[Lab Q Model Units 3]]</f>
        <v>#N/A</v>
      </c>
      <c r="AE123" s="367" t="e">
        <f>RawMaterials[[#This Row],[Lab Price 4]]/RawMaterials[[#This Row],[Lab Q Model Units 4]]</f>
        <v>#N/A</v>
      </c>
      <c r="AF123" s="367" t="str">
        <f ca="1">IF(RawMaterials[[#This Row],[Lab Quote Count]]&gt;1,SLOPE(LOG(INDIRECT("RawMaterials[@[Lab Unit P 1]:[Lab Unit P "&amp;RawMaterials[[#This Row],[Lab Quote Count]]&amp;"]]")),LOG(INDIRECT("RawMaterials[@[Lab Q Model Units 1]:[Lab Q Model Units "&amp;RawMaterials[[#This Row],[Lab Quote Count]]&amp;"]]"))),"")</f>
        <v/>
      </c>
      <c r="AG123" s="367" t="str">
        <f ca="1">IF(RawMaterials[[#This Row],[Lab Quote Count]]&gt;1,INTERCEPT(LOG(INDIRECT("RawMaterials[@[Lab Unit P 1]:[Lab Unit P "&amp;RawMaterials[[#This Row],[Lab Quote Count]]&amp;"]]")),LOG(INDIRECT("RawMaterials[@[Lab Q Model Units 1]:[Lab Q Model Units "&amp;RawMaterials[[#This Row],[Lab Quote Count]]&amp;"]]"))),"")</f>
        <v/>
      </c>
      <c r="AH123" s="368" t="str">
        <f>IF(RawMaterials[[#This Row],[Material Type]]="Metal Precursor","D13",IF(RawMaterials[[#This Row],[Material Type]]="Ligand","D13","D12"))</f>
        <v>D12</v>
      </c>
      <c r="AI123" s="369" t="str">
        <f ca="1">IF(RawMaterials[[#This Row],[Lab Quote Count]]&gt;1,10^RawMaterials[[#This Row],[Lab Log-Log Intercept]]*INDIRECT(RawMaterials[[#This Row],[Basis Cell]])^RawMaterials[[#This Row],[Lab Log-Log Slope]],"&gt;&gt;&gt; Enter 2 or more lab quotes &lt;&lt;&lt;")</f>
        <v>&gt;&gt;&gt; Enter 2 or more lab quotes &lt;&lt;&lt;</v>
      </c>
      <c r="AJ1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0.32937499999999997</v>
      </c>
      <c r="AL123" s="372">
        <f>IF(ISTEXT(RawMaterials[[#This Row],[Unit price in quote year]]),"Check calcs",RawMaterials[[#This Row],[Unit price in quote year]]/VLOOKUP(RawMaterials[[#This Row],[Quote Year]],ChemPPI[],14,FALSE)*VLOOKUP(BasisYear,ChemPPI[],14,FALSE))</f>
        <v>0.38550766843162315</v>
      </c>
      <c r="AM123" s="373" t="str">
        <f t="shared" si="1"/>
        <v>$/lb (2016)</v>
      </c>
    </row>
    <row r="124" spans="1:39">
      <c r="A124" s="263" t="s">
        <v>1231</v>
      </c>
      <c r="B124" s="264"/>
      <c r="C124" s="271"/>
      <c r="D124" s="365"/>
      <c r="E124" s="264">
        <v>100</v>
      </c>
      <c r="F124" s="264"/>
      <c r="G124" s="271"/>
      <c r="H124" s="271"/>
      <c r="I124" s="268"/>
      <c r="J124" s="271"/>
      <c r="K124" s="271"/>
      <c r="L124" s="271"/>
      <c r="M124" s="271"/>
      <c r="N124" s="271"/>
      <c r="O124" s="271"/>
      <c r="P124" s="265">
        <v>635</v>
      </c>
      <c r="Q124" s="264">
        <v>1</v>
      </c>
      <c r="R124" s="264" t="s">
        <v>406</v>
      </c>
      <c r="S124" s="264">
        <v>2008</v>
      </c>
      <c r="T124" s="266" t="s">
        <v>163</v>
      </c>
      <c r="U124" s="267">
        <v>42653</v>
      </c>
      <c r="V124" s="269"/>
      <c r="W124" s="366">
        <f>COUNT(RawMaterials[[#This Row],[Lab Quantity 1]:[Lab Quantity 4]])</f>
        <v>0</v>
      </c>
      <c r="X1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4" s="367" t="e">
        <f>RawMaterials[[#This Row],[Lab Price 1]]/RawMaterials[[#This Row],[Lab Q Model Units 1]]</f>
        <v>#N/A</v>
      </c>
      <c r="AC124" s="367" t="e">
        <f>RawMaterials[[#This Row],[Lab Price 2]]/RawMaterials[[#This Row],[Lab Q Model Units 2]]</f>
        <v>#N/A</v>
      </c>
      <c r="AD124" s="367" t="e">
        <f>RawMaterials[[#This Row],[Lab Price 3]]/RawMaterials[[#This Row],[Lab Q Model Units 3]]</f>
        <v>#N/A</v>
      </c>
      <c r="AE124" s="367" t="e">
        <f>RawMaterials[[#This Row],[Lab Price 4]]/RawMaterials[[#This Row],[Lab Q Model Units 4]]</f>
        <v>#N/A</v>
      </c>
      <c r="AF124" s="367" t="str">
        <f ca="1">IF(RawMaterials[[#This Row],[Lab Quote Count]]&gt;1,SLOPE(LOG(INDIRECT("RawMaterials[@[Lab Unit P 1]:[Lab Unit P "&amp;RawMaterials[[#This Row],[Lab Quote Count]]&amp;"]]")),LOG(INDIRECT("RawMaterials[@[Lab Q Model Units 1]:[Lab Q Model Units "&amp;RawMaterials[[#This Row],[Lab Quote Count]]&amp;"]]"))),"")</f>
        <v/>
      </c>
      <c r="AG124" s="367" t="str">
        <f ca="1">IF(RawMaterials[[#This Row],[Lab Quote Count]]&gt;1,INTERCEPT(LOG(INDIRECT("RawMaterials[@[Lab Unit P 1]:[Lab Unit P "&amp;RawMaterials[[#This Row],[Lab Quote Count]]&amp;"]]")),LOG(INDIRECT("RawMaterials[@[Lab Q Model Units 1]:[Lab Q Model Units "&amp;RawMaterials[[#This Row],[Lab Quote Count]]&amp;"]]"))),"")</f>
        <v/>
      </c>
      <c r="AH124" s="368" t="str">
        <f>IF(RawMaterials[[#This Row],[Material Type]]="Metal Precursor","D13",IF(RawMaterials[[#This Row],[Material Type]]="Ligand","D13","D12"))</f>
        <v>D12</v>
      </c>
      <c r="AI124" s="369" t="str">
        <f ca="1">IF(RawMaterials[[#This Row],[Lab Quote Count]]&gt;1,10^RawMaterials[[#This Row],[Lab Log-Log Intercept]]*INDIRECT(RawMaterials[[#This Row],[Basis Cell]])^RawMaterials[[#This Row],[Lab Log-Log Slope]],"&gt;&gt;&gt; Enter 2 or more lab quotes &lt;&lt;&lt;")</f>
        <v>&gt;&gt;&gt; Enter 2 or more lab quotes &lt;&lt;&lt;</v>
      </c>
      <c r="AJ1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0.3175</v>
      </c>
      <c r="AL124" s="372">
        <f>IF(ISTEXT(RawMaterials[[#This Row],[Unit price in quote year]]),"Check calcs",RawMaterials[[#This Row],[Unit price in quote year]]/VLOOKUP(RawMaterials[[#This Row],[Quote Year]],ChemPPI[],14,FALSE)*VLOOKUP(BasisYear,ChemPPI[],14,FALSE))</f>
        <v>0.37160890998721929</v>
      </c>
      <c r="AM124" s="373" t="str">
        <f t="shared" si="1"/>
        <v>$/lb (2016)</v>
      </c>
    </row>
    <row r="125" spans="1:39">
      <c r="A125" s="263" t="s">
        <v>1232</v>
      </c>
      <c r="B125" s="264"/>
      <c r="C125" s="271"/>
      <c r="D125" s="365"/>
      <c r="E125" s="264">
        <v>100</v>
      </c>
      <c r="F125" s="264"/>
      <c r="G125" s="271"/>
      <c r="H125" s="271"/>
      <c r="I125" s="268"/>
      <c r="J125" s="271"/>
      <c r="K125" s="271"/>
      <c r="L125" s="271"/>
      <c r="M125" s="271"/>
      <c r="N125" s="271"/>
      <c r="O125" s="271"/>
      <c r="P125" s="265">
        <v>589.66999999999996</v>
      </c>
      <c r="Q125" s="264">
        <v>1</v>
      </c>
      <c r="R125" s="264" t="s">
        <v>406</v>
      </c>
      <c r="S125" s="264">
        <v>2008</v>
      </c>
      <c r="T125" s="266" t="s">
        <v>163</v>
      </c>
      <c r="U125" s="267">
        <v>42653</v>
      </c>
      <c r="V125" s="269"/>
      <c r="W125" s="366">
        <f>COUNT(RawMaterials[[#This Row],[Lab Quantity 1]:[Lab Quantity 4]])</f>
        <v>0</v>
      </c>
      <c r="X1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5" s="367" t="e">
        <f>RawMaterials[[#This Row],[Lab Price 1]]/RawMaterials[[#This Row],[Lab Q Model Units 1]]</f>
        <v>#N/A</v>
      </c>
      <c r="AC125" s="367" t="e">
        <f>RawMaterials[[#This Row],[Lab Price 2]]/RawMaterials[[#This Row],[Lab Q Model Units 2]]</f>
        <v>#N/A</v>
      </c>
      <c r="AD125" s="367" t="e">
        <f>RawMaterials[[#This Row],[Lab Price 3]]/RawMaterials[[#This Row],[Lab Q Model Units 3]]</f>
        <v>#N/A</v>
      </c>
      <c r="AE125" s="367" t="e">
        <f>RawMaterials[[#This Row],[Lab Price 4]]/RawMaterials[[#This Row],[Lab Q Model Units 4]]</f>
        <v>#N/A</v>
      </c>
      <c r="AF125" s="367" t="str">
        <f ca="1">IF(RawMaterials[[#This Row],[Lab Quote Count]]&gt;1,SLOPE(LOG(INDIRECT("RawMaterials[@[Lab Unit P 1]:[Lab Unit P "&amp;RawMaterials[[#This Row],[Lab Quote Count]]&amp;"]]")),LOG(INDIRECT("RawMaterials[@[Lab Q Model Units 1]:[Lab Q Model Units "&amp;RawMaterials[[#This Row],[Lab Quote Count]]&amp;"]]"))),"")</f>
        <v/>
      </c>
      <c r="AG125" s="367" t="str">
        <f ca="1">IF(RawMaterials[[#This Row],[Lab Quote Count]]&gt;1,INTERCEPT(LOG(INDIRECT("RawMaterials[@[Lab Unit P 1]:[Lab Unit P "&amp;RawMaterials[[#This Row],[Lab Quote Count]]&amp;"]]")),LOG(INDIRECT("RawMaterials[@[Lab Q Model Units 1]:[Lab Q Model Units "&amp;RawMaterials[[#This Row],[Lab Quote Count]]&amp;"]]"))),"")</f>
        <v/>
      </c>
      <c r="AH125" s="368" t="str">
        <f>IF(RawMaterials[[#This Row],[Material Type]]="Metal Precursor","D13",IF(RawMaterials[[#This Row],[Material Type]]="Ligand","D13","D12"))</f>
        <v>D12</v>
      </c>
      <c r="AI125" s="369" t="str">
        <f ca="1">IF(RawMaterials[[#This Row],[Lab Quote Count]]&gt;1,10^RawMaterials[[#This Row],[Lab Log-Log Intercept]]*INDIRECT(RawMaterials[[#This Row],[Basis Cell]])^RawMaterials[[#This Row],[Lab Log-Log Slope]],"&gt;&gt;&gt; Enter 2 or more lab quotes &lt;&lt;&lt;")</f>
        <v>&gt;&gt;&gt; Enter 2 or more lab quotes &lt;&lt;&lt;</v>
      </c>
      <c r="AJ1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0.29483499999999996</v>
      </c>
      <c r="AL125" s="372">
        <f>IF(ISTEXT(RawMaterials[[#This Row],[Unit price in quote year]]),"Check calcs",RawMaterials[[#This Row],[Unit price in quote year]]/VLOOKUP(RawMaterials[[#This Row],[Quote Year]],ChemPPI[],14,FALSE)*VLOOKUP(BasisYear,ChemPPI[],14,FALSE))</f>
        <v>0.34508130071206861</v>
      </c>
      <c r="AM125" s="373" t="str">
        <f t="shared" si="1"/>
        <v>$/lb (2016)</v>
      </c>
    </row>
    <row r="126" spans="1:39">
      <c r="A126" s="263" t="s">
        <v>1233</v>
      </c>
      <c r="B126" s="264"/>
      <c r="C126" s="271"/>
      <c r="D126" s="365"/>
      <c r="E126" s="264">
        <v>100</v>
      </c>
      <c r="F126" s="264"/>
      <c r="G126" s="271"/>
      <c r="H126" s="271"/>
      <c r="I126" s="268"/>
      <c r="J126" s="271"/>
      <c r="K126" s="271"/>
      <c r="L126" s="271"/>
      <c r="M126" s="271"/>
      <c r="N126" s="271"/>
      <c r="O126" s="271"/>
      <c r="P126" s="265">
        <v>0.72249999999999903</v>
      </c>
      <c r="Q126" s="264">
        <v>1</v>
      </c>
      <c r="R126" s="264" t="s">
        <v>20</v>
      </c>
      <c r="S126" s="264">
        <v>2006</v>
      </c>
      <c r="T126" s="266" t="s">
        <v>163</v>
      </c>
      <c r="U126" s="267">
        <v>42653</v>
      </c>
      <c r="V126" s="269"/>
      <c r="W126" s="366">
        <f>COUNT(RawMaterials[[#This Row],[Lab Quantity 1]:[Lab Quantity 4]])</f>
        <v>0</v>
      </c>
      <c r="X1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6" s="367" t="e">
        <f>RawMaterials[[#This Row],[Lab Price 1]]/RawMaterials[[#This Row],[Lab Q Model Units 1]]</f>
        <v>#N/A</v>
      </c>
      <c r="AC126" s="367" t="e">
        <f>RawMaterials[[#This Row],[Lab Price 2]]/RawMaterials[[#This Row],[Lab Q Model Units 2]]</f>
        <v>#N/A</v>
      </c>
      <c r="AD126" s="367" t="e">
        <f>RawMaterials[[#This Row],[Lab Price 3]]/RawMaterials[[#This Row],[Lab Q Model Units 3]]</f>
        <v>#N/A</v>
      </c>
      <c r="AE126" s="367" t="e">
        <f>RawMaterials[[#This Row],[Lab Price 4]]/RawMaterials[[#This Row],[Lab Q Model Units 4]]</f>
        <v>#N/A</v>
      </c>
      <c r="AF126" s="367" t="str">
        <f ca="1">IF(RawMaterials[[#This Row],[Lab Quote Count]]&gt;1,SLOPE(LOG(INDIRECT("RawMaterials[@[Lab Unit P 1]:[Lab Unit P "&amp;RawMaterials[[#This Row],[Lab Quote Count]]&amp;"]]")),LOG(INDIRECT("RawMaterials[@[Lab Q Model Units 1]:[Lab Q Model Units "&amp;RawMaterials[[#This Row],[Lab Quote Count]]&amp;"]]"))),"")</f>
        <v/>
      </c>
      <c r="AG126" s="367" t="str">
        <f ca="1">IF(RawMaterials[[#This Row],[Lab Quote Count]]&gt;1,INTERCEPT(LOG(INDIRECT("RawMaterials[@[Lab Unit P 1]:[Lab Unit P "&amp;RawMaterials[[#This Row],[Lab Quote Count]]&amp;"]]")),LOG(INDIRECT("RawMaterials[@[Lab Q Model Units 1]:[Lab Q Model Units "&amp;RawMaterials[[#This Row],[Lab Quote Count]]&amp;"]]"))),"")</f>
        <v/>
      </c>
      <c r="AH126" s="368" t="str">
        <f>IF(RawMaterials[[#This Row],[Material Type]]="Metal Precursor","D13",IF(RawMaterials[[#This Row],[Material Type]]="Ligand","D13","D12"))</f>
        <v>D12</v>
      </c>
      <c r="AI126" s="369" t="str">
        <f ca="1">IF(RawMaterials[[#This Row],[Lab Quote Count]]&gt;1,10^RawMaterials[[#This Row],[Lab Log-Log Intercept]]*INDIRECT(RawMaterials[[#This Row],[Basis Cell]])^RawMaterials[[#This Row],[Lab Log-Log Slope]],"&gt;&gt;&gt; Enter 2 or more lab quotes &lt;&lt;&lt;")</f>
        <v>&gt;&gt;&gt; Enter 2 or more lab quotes &lt;&lt;&lt;</v>
      </c>
      <c r="AJ1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0.72249999999999903</v>
      </c>
      <c r="AL126" s="372">
        <f>IF(ISTEXT(RawMaterials[[#This Row],[Unit price in quote year]]),"Check calcs",RawMaterials[[#This Row],[Unit price in quote year]]/VLOOKUP(RawMaterials[[#This Row],[Quote Year]],ChemPPI[],14,FALSE)*VLOOKUP(BasisYear,ChemPPI[],14,FALSE))</f>
        <v>0.98058816056910458</v>
      </c>
      <c r="AM126" s="373" t="str">
        <f t="shared" si="1"/>
        <v>$/lb (2016)</v>
      </c>
    </row>
    <row r="127" spans="1:39">
      <c r="A127" s="263" t="s">
        <v>1234</v>
      </c>
      <c r="B127" s="264"/>
      <c r="C127" s="271"/>
      <c r="D127" s="365"/>
      <c r="E127" s="264">
        <v>100</v>
      </c>
      <c r="F127" s="264"/>
      <c r="G127" s="271"/>
      <c r="H127" s="271"/>
      <c r="I127" s="268"/>
      <c r="J127" s="271"/>
      <c r="K127" s="271"/>
      <c r="L127" s="271"/>
      <c r="M127" s="271"/>
      <c r="N127" s="271"/>
      <c r="O127" s="271"/>
      <c r="P127" s="265">
        <v>0.72499999999999998</v>
      </c>
      <c r="Q127" s="264">
        <v>1</v>
      </c>
      <c r="R127" s="264" t="s">
        <v>20</v>
      </c>
      <c r="S127" s="264">
        <v>2006</v>
      </c>
      <c r="T127" s="266" t="s">
        <v>163</v>
      </c>
      <c r="U127" s="267">
        <v>42653</v>
      </c>
      <c r="V127" s="269"/>
      <c r="W127" s="366">
        <f>COUNT(RawMaterials[[#This Row],[Lab Quantity 1]:[Lab Quantity 4]])</f>
        <v>0</v>
      </c>
      <c r="X1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7" s="367" t="e">
        <f>RawMaterials[[#This Row],[Lab Price 1]]/RawMaterials[[#This Row],[Lab Q Model Units 1]]</f>
        <v>#N/A</v>
      </c>
      <c r="AC127" s="367" t="e">
        <f>RawMaterials[[#This Row],[Lab Price 2]]/RawMaterials[[#This Row],[Lab Q Model Units 2]]</f>
        <v>#N/A</v>
      </c>
      <c r="AD127" s="367" t="e">
        <f>RawMaterials[[#This Row],[Lab Price 3]]/RawMaterials[[#This Row],[Lab Q Model Units 3]]</f>
        <v>#N/A</v>
      </c>
      <c r="AE127" s="367" t="e">
        <f>RawMaterials[[#This Row],[Lab Price 4]]/RawMaterials[[#This Row],[Lab Q Model Units 4]]</f>
        <v>#N/A</v>
      </c>
      <c r="AF127" s="367" t="str">
        <f ca="1">IF(RawMaterials[[#This Row],[Lab Quote Count]]&gt;1,SLOPE(LOG(INDIRECT("RawMaterials[@[Lab Unit P 1]:[Lab Unit P "&amp;RawMaterials[[#This Row],[Lab Quote Count]]&amp;"]]")),LOG(INDIRECT("RawMaterials[@[Lab Q Model Units 1]:[Lab Q Model Units "&amp;RawMaterials[[#This Row],[Lab Quote Count]]&amp;"]]"))),"")</f>
        <v/>
      </c>
      <c r="AG127" s="367" t="str">
        <f ca="1">IF(RawMaterials[[#This Row],[Lab Quote Count]]&gt;1,INTERCEPT(LOG(INDIRECT("RawMaterials[@[Lab Unit P 1]:[Lab Unit P "&amp;RawMaterials[[#This Row],[Lab Quote Count]]&amp;"]]")),LOG(INDIRECT("RawMaterials[@[Lab Q Model Units 1]:[Lab Q Model Units "&amp;RawMaterials[[#This Row],[Lab Quote Count]]&amp;"]]"))),"")</f>
        <v/>
      </c>
      <c r="AH127" s="368" t="str">
        <f>IF(RawMaterials[[#This Row],[Material Type]]="Metal Precursor","D13",IF(RawMaterials[[#This Row],[Material Type]]="Ligand","D13","D12"))</f>
        <v>D12</v>
      </c>
      <c r="AI127" s="369" t="str">
        <f ca="1">IF(RawMaterials[[#This Row],[Lab Quote Count]]&gt;1,10^RawMaterials[[#This Row],[Lab Log-Log Intercept]]*INDIRECT(RawMaterials[[#This Row],[Basis Cell]])^RawMaterials[[#This Row],[Lab Log-Log Slope]],"&gt;&gt;&gt; Enter 2 or more lab quotes &lt;&lt;&lt;")</f>
        <v>&gt;&gt;&gt; Enter 2 or more lab quotes &lt;&lt;&lt;</v>
      </c>
      <c r="AJ1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27" s="372">
        <f>IF(ISTEXT(RawMaterials[[#This Row],[Unit price in quote year]]),"Check calcs",RawMaterials[[#This Row],[Unit price in quote year]]/VLOOKUP(RawMaterials[[#This Row],[Quote Year]],ChemPPI[],14,FALSE)*VLOOKUP(BasisYear,ChemPPI[],14,FALSE))</f>
        <v>0.98398119918699201</v>
      </c>
      <c r="AM127" s="373" t="str">
        <f t="shared" si="1"/>
        <v>$/lb (2016)</v>
      </c>
    </row>
    <row r="128" spans="1:39">
      <c r="A128" s="263" t="s">
        <v>1235</v>
      </c>
      <c r="B128" s="264"/>
      <c r="C128" s="271"/>
      <c r="D128" s="365"/>
      <c r="E128" s="264">
        <v>100</v>
      </c>
      <c r="F128" s="264"/>
      <c r="G128" s="271"/>
      <c r="H128" s="271"/>
      <c r="I128" s="268"/>
      <c r="J128" s="271"/>
      <c r="K128" s="271"/>
      <c r="L128" s="271"/>
      <c r="M128" s="271"/>
      <c r="N128" s="271"/>
      <c r="O128" s="271"/>
      <c r="P128" s="265">
        <v>0.72750000000000004</v>
      </c>
      <c r="Q128" s="264">
        <v>1</v>
      </c>
      <c r="R128" s="264" t="s">
        <v>20</v>
      </c>
      <c r="S128" s="264">
        <v>2006</v>
      </c>
      <c r="T128" s="266" t="s">
        <v>163</v>
      </c>
      <c r="U128" s="267">
        <v>42653</v>
      </c>
      <c r="V128" s="269"/>
      <c r="W128" s="366">
        <f>COUNT(RawMaterials[[#This Row],[Lab Quantity 1]:[Lab Quantity 4]])</f>
        <v>0</v>
      </c>
      <c r="X1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8" s="367" t="e">
        <f>RawMaterials[[#This Row],[Lab Price 1]]/RawMaterials[[#This Row],[Lab Q Model Units 1]]</f>
        <v>#N/A</v>
      </c>
      <c r="AC128" s="367" t="e">
        <f>RawMaterials[[#This Row],[Lab Price 2]]/RawMaterials[[#This Row],[Lab Q Model Units 2]]</f>
        <v>#N/A</v>
      </c>
      <c r="AD128" s="367" t="e">
        <f>RawMaterials[[#This Row],[Lab Price 3]]/RawMaterials[[#This Row],[Lab Q Model Units 3]]</f>
        <v>#N/A</v>
      </c>
      <c r="AE128" s="367" t="e">
        <f>RawMaterials[[#This Row],[Lab Price 4]]/RawMaterials[[#This Row],[Lab Q Model Units 4]]</f>
        <v>#N/A</v>
      </c>
      <c r="AF128" s="367" t="str">
        <f ca="1">IF(RawMaterials[[#This Row],[Lab Quote Count]]&gt;1,SLOPE(LOG(INDIRECT("RawMaterials[@[Lab Unit P 1]:[Lab Unit P "&amp;RawMaterials[[#This Row],[Lab Quote Count]]&amp;"]]")),LOG(INDIRECT("RawMaterials[@[Lab Q Model Units 1]:[Lab Q Model Units "&amp;RawMaterials[[#This Row],[Lab Quote Count]]&amp;"]]"))),"")</f>
        <v/>
      </c>
      <c r="AG128" s="367" t="str">
        <f ca="1">IF(RawMaterials[[#This Row],[Lab Quote Count]]&gt;1,INTERCEPT(LOG(INDIRECT("RawMaterials[@[Lab Unit P 1]:[Lab Unit P "&amp;RawMaterials[[#This Row],[Lab Quote Count]]&amp;"]]")),LOG(INDIRECT("RawMaterials[@[Lab Q Model Units 1]:[Lab Q Model Units "&amp;RawMaterials[[#This Row],[Lab Quote Count]]&amp;"]]"))),"")</f>
        <v/>
      </c>
      <c r="AH128" s="368" t="str">
        <f>IF(RawMaterials[[#This Row],[Material Type]]="Metal Precursor","D13",IF(RawMaterials[[#This Row],[Material Type]]="Ligand","D13","D12"))</f>
        <v>D12</v>
      </c>
      <c r="AI128" s="369" t="str">
        <f ca="1">IF(RawMaterials[[#This Row],[Lab Quote Count]]&gt;1,10^RawMaterials[[#This Row],[Lab Log-Log Intercept]]*INDIRECT(RawMaterials[[#This Row],[Basis Cell]])^RawMaterials[[#This Row],[Lab Log-Log Slope]],"&gt;&gt;&gt; Enter 2 or more lab quotes &lt;&lt;&lt;")</f>
        <v>&gt;&gt;&gt; Enter 2 or more lab quotes &lt;&lt;&lt;</v>
      </c>
      <c r="AJ1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0.72750000000000004</v>
      </c>
      <c r="AL128" s="372">
        <f>IF(ISTEXT(RawMaterials[[#This Row],[Unit price in quote year]]),"Check calcs",RawMaterials[[#This Row],[Unit price in quote year]]/VLOOKUP(RawMaterials[[#This Row],[Quote Year]],ChemPPI[],14,FALSE)*VLOOKUP(BasisYear,ChemPPI[],14,FALSE))</f>
        <v>0.98737423780487832</v>
      </c>
      <c r="AM128" s="373" t="str">
        <f t="shared" si="1"/>
        <v>$/lb (2016)</v>
      </c>
    </row>
    <row r="129" spans="1:39">
      <c r="A129" s="263" t="s">
        <v>1236</v>
      </c>
      <c r="B129" s="264"/>
      <c r="C129" s="271"/>
      <c r="D129" s="365"/>
      <c r="E129" s="264">
        <v>100</v>
      </c>
      <c r="F129" s="264"/>
      <c r="G129" s="271"/>
      <c r="H129" s="271"/>
      <c r="I129" s="268"/>
      <c r="J129" s="271"/>
      <c r="K129" s="271"/>
      <c r="L129" s="271"/>
      <c r="M129" s="271"/>
      <c r="N129" s="271"/>
      <c r="O129" s="271"/>
      <c r="P129" s="265">
        <v>0.89</v>
      </c>
      <c r="Q129" s="264">
        <v>1</v>
      </c>
      <c r="R129" s="264" t="s">
        <v>20</v>
      </c>
      <c r="S129" s="264">
        <v>2006</v>
      </c>
      <c r="T129" s="266" t="s">
        <v>163</v>
      </c>
      <c r="U129" s="267">
        <v>42653</v>
      </c>
      <c r="V129" s="269"/>
      <c r="W129" s="366">
        <f>COUNT(RawMaterials[[#This Row],[Lab Quantity 1]:[Lab Quantity 4]])</f>
        <v>0</v>
      </c>
      <c r="X1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29" s="367" t="e">
        <f>RawMaterials[[#This Row],[Lab Price 1]]/RawMaterials[[#This Row],[Lab Q Model Units 1]]</f>
        <v>#N/A</v>
      </c>
      <c r="AC129" s="367" t="e">
        <f>RawMaterials[[#This Row],[Lab Price 2]]/RawMaterials[[#This Row],[Lab Q Model Units 2]]</f>
        <v>#N/A</v>
      </c>
      <c r="AD129" s="367" t="e">
        <f>RawMaterials[[#This Row],[Lab Price 3]]/RawMaterials[[#This Row],[Lab Q Model Units 3]]</f>
        <v>#N/A</v>
      </c>
      <c r="AE129" s="367" t="e">
        <f>RawMaterials[[#This Row],[Lab Price 4]]/RawMaterials[[#This Row],[Lab Q Model Units 4]]</f>
        <v>#N/A</v>
      </c>
      <c r="AF129" s="367" t="str">
        <f ca="1">IF(RawMaterials[[#This Row],[Lab Quote Count]]&gt;1,SLOPE(LOG(INDIRECT("RawMaterials[@[Lab Unit P 1]:[Lab Unit P "&amp;RawMaterials[[#This Row],[Lab Quote Count]]&amp;"]]")),LOG(INDIRECT("RawMaterials[@[Lab Q Model Units 1]:[Lab Q Model Units "&amp;RawMaterials[[#This Row],[Lab Quote Count]]&amp;"]]"))),"")</f>
        <v/>
      </c>
      <c r="AG129" s="367" t="str">
        <f ca="1">IF(RawMaterials[[#This Row],[Lab Quote Count]]&gt;1,INTERCEPT(LOG(INDIRECT("RawMaterials[@[Lab Unit P 1]:[Lab Unit P "&amp;RawMaterials[[#This Row],[Lab Quote Count]]&amp;"]]")),LOG(INDIRECT("RawMaterials[@[Lab Q Model Units 1]:[Lab Q Model Units "&amp;RawMaterials[[#This Row],[Lab Quote Count]]&amp;"]]"))),"")</f>
        <v/>
      </c>
      <c r="AH129" s="368" t="str">
        <f>IF(RawMaterials[[#This Row],[Material Type]]="Metal Precursor","D13",IF(RawMaterials[[#This Row],[Material Type]]="Ligand","D13","D12"))</f>
        <v>D12</v>
      </c>
      <c r="AI129" s="369" t="str">
        <f ca="1">IF(RawMaterials[[#This Row],[Lab Quote Count]]&gt;1,10^RawMaterials[[#This Row],[Lab Log-Log Intercept]]*INDIRECT(RawMaterials[[#This Row],[Basis Cell]])^RawMaterials[[#This Row],[Lab Log-Log Slope]],"&gt;&gt;&gt; Enter 2 or more lab quotes &lt;&lt;&lt;")</f>
        <v>&gt;&gt;&gt; Enter 2 or more lab quotes &lt;&lt;&lt;</v>
      </c>
      <c r="AJ1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129" s="372">
        <f>IF(ISTEXT(RawMaterials[[#This Row],[Unit price in quote year]]),"Check calcs",RawMaterials[[#This Row],[Unit price in quote year]]/VLOOKUP(RawMaterials[[#This Row],[Quote Year]],ChemPPI[],14,FALSE)*VLOOKUP(BasisYear,ChemPPI[],14,FALSE))</f>
        <v>1.20792174796748</v>
      </c>
      <c r="AM129" s="373" t="str">
        <f t="shared" si="1"/>
        <v>$/lb (2016)</v>
      </c>
    </row>
    <row r="130" spans="1:39">
      <c r="A130" s="263" t="s">
        <v>1237</v>
      </c>
      <c r="B130" s="264"/>
      <c r="C130" s="271"/>
      <c r="D130" s="365"/>
      <c r="E130" s="264">
        <v>100</v>
      </c>
      <c r="F130" s="264"/>
      <c r="G130" s="271"/>
      <c r="H130" s="271"/>
      <c r="I130" s="268"/>
      <c r="J130" s="271"/>
      <c r="K130" s="271"/>
      <c r="L130" s="271"/>
      <c r="M130" s="271"/>
      <c r="N130" s="271"/>
      <c r="O130" s="271"/>
      <c r="P130" s="265">
        <v>257.5</v>
      </c>
      <c r="Q130" s="264">
        <v>1</v>
      </c>
      <c r="R130" s="264" t="s">
        <v>406</v>
      </c>
      <c r="S130" s="264">
        <v>2008</v>
      </c>
      <c r="T130" s="266" t="s">
        <v>163</v>
      </c>
      <c r="U130" s="267">
        <v>42653</v>
      </c>
      <c r="V130" s="269"/>
      <c r="W130" s="366">
        <f>COUNT(RawMaterials[[#This Row],[Lab Quantity 1]:[Lab Quantity 4]])</f>
        <v>0</v>
      </c>
      <c r="X1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0" s="367" t="e">
        <f>RawMaterials[[#This Row],[Lab Price 1]]/RawMaterials[[#This Row],[Lab Q Model Units 1]]</f>
        <v>#N/A</v>
      </c>
      <c r="AC130" s="367" t="e">
        <f>RawMaterials[[#This Row],[Lab Price 2]]/RawMaterials[[#This Row],[Lab Q Model Units 2]]</f>
        <v>#N/A</v>
      </c>
      <c r="AD130" s="367" t="e">
        <f>RawMaterials[[#This Row],[Lab Price 3]]/RawMaterials[[#This Row],[Lab Q Model Units 3]]</f>
        <v>#N/A</v>
      </c>
      <c r="AE130" s="367" t="e">
        <f>RawMaterials[[#This Row],[Lab Price 4]]/RawMaterials[[#This Row],[Lab Q Model Units 4]]</f>
        <v>#N/A</v>
      </c>
      <c r="AF130" s="367" t="str">
        <f ca="1">IF(RawMaterials[[#This Row],[Lab Quote Count]]&gt;1,SLOPE(LOG(INDIRECT("RawMaterials[@[Lab Unit P 1]:[Lab Unit P "&amp;RawMaterials[[#This Row],[Lab Quote Count]]&amp;"]]")),LOG(INDIRECT("RawMaterials[@[Lab Q Model Units 1]:[Lab Q Model Units "&amp;RawMaterials[[#This Row],[Lab Quote Count]]&amp;"]]"))),"")</f>
        <v/>
      </c>
      <c r="AG130" s="367" t="str">
        <f ca="1">IF(RawMaterials[[#This Row],[Lab Quote Count]]&gt;1,INTERCEPT(LOG(INDIRECT("RawMaterials[@[Lab Unit P 1]:[Lab Unit P "&amp;RawMaterials[[#This Row],[Lab Quote Count]]&amp;"]]")),LOG(INDIRECT("RawMaterials[@[Lab Q Model Units 1]:[Lab Q Model Units "&amp;RawMaterials[[#This Row],[Lab Quote Count]]&amp;"]]"))),"")</f>
        <v/>
      </c>
      <c r="AH130" s="368" t="str">
        <f>IF(RawMaterials[[#This Row],[Material Type]]="Metal Precursor","D13",IF(RawMaterials[[#This Row],[Material Type]]="Ligand","D13","D12"))</f>
        <v>D12</v>
      </c>
      <c r="AI130" s="369" t="str">
        <f ca="1">IF(RawMaterials[[#This Row],[Lab Quote Count]]&gt;1,10^RawMaterials[[#This Row],[Lab Log-Log Intercept]]*INDIRECT(RawMaterials[[#This Row],[Basis Cell]])^RawMaterials[[#This Row],[Lab Log-Log Slope]],"&gt;&gt;&gt; Enter 2 or more lab quotes &lt;&lt;&lt;")</f>
        <v>&gt;&gt;&gt; Enter 2 or more lab quotes &lt;&lt;&lt;</v>
      </c>
      <c r="AJ1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130" s="372">
        <f>IF(ISTEXT(RawMaterials[[#This Row],[Unit price in quote year]]),"Check calcs",RawMaterials[[#This Row],[Unit price in quote year]]/VLOOKUP(RawMaterials[[#This Row],[Quote Year]],ChemPPI[],14,FALSE)*VLOOKUP(BasisYear,ChemPPI[],14,FALSE))</f>
        <v>0.15069180208143143</v>
      </c>
      <c r="AM130" s="373" t="str">
        <f t="shared" si="1"/>
        <v>$/lb (2016)</v>
      </c>
    </row>
    <row r="131" spans="1:39">
      <c r="A131" s="263" t="s">
        <v>1238</v>
      </c>
      <c r="B131" s="264"/>
      <c r="C131" s="271"/>
      <c r="D131" s="365"/>
      <c r="E131" s="264">
        <v>100</v>
      </c>
      <c r="F131" s="264"/>
      <c r="G131" s="271"/>
      <c r="H131" s="271"/>
      <c r="I131" s="268"/>
      <c r="J131" s="271"/>
      <c r="K131" s="271"/>
      <c r="L131" s="271"/>
      <c r="M131" s="271"/>
      <c r="N131" s="271"/>
      <c r="O131" s="271"/>
      <c r="P131" s="265">
        <v>0.4</v>
      </c>
      <c r="Q131" s="264">
        <v>1</v>
      </c>
      <c r="R131" s="264" t="s">
        <v>20</v>
      </c>
      <c r="S131" s="264">
        <v>2008</v>
      </c>
      <c r="T131" s="266" t="s">
        <v>163</v>
      </c>
      <c r="U131" s="267">
        <v>42653</v>
      </c>
      <c r="V131" s="269"/>
      <c r="W131" s="366">
        <f>COUNT(RawMaterials[[#This Row],[Lab Quantity 1]:[Lab Quantity 4]])</f>
        <v>0</v>
      </c>
      <c r="X1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1" s="367" t="e">
        <f>RawMaterials[[#This Row],[Lab Price 1]]/RawMaterials[[#This Row],[Lab Q Model Units 1]]</f>
        <v>#N/A</v>
      </c>
      <c r="AC131" s="367" t="e">
        <f>RawMaterials[[#This Row],[Lab Price 2]]/RawMaterials[[#This Row],[Lab Q Model Units 2]]</f>
        <v>#N/A</v>
      </c>
      <c r="AD131" s="367" t="e">
        <f>RawMaterials[[#This Row],[Lab Price 3]]/RawMaterials[[#This Row],[Lab Q Model Units 3]]</f>
        <v>#N/A</v>
      </c>
      <c r="AE131" s="367" t="e">
        <f>RawMaterials[[#This Row],[Lab Price 4]]/RawMaterials[[#This Row],[Lab Q Model Units 4]]</f>
        <v>#N/A</v>
      </c>
      <c r="AF131" s="367" t="str">
        <f ca="1">IF(RawMaterials[[#This Row],[Lab Quote Count]]&gt;1,SLOPE(LOG(INDIRECT("RawMaterials[@[Lab Unit P 1]:[Lab Unit P "&amp;RawMaterials[[#This Row],[Lab Quote Count]]&amp;"]]")),LOG(INDIRECT("RawMaterials[@[Lab Q Model Units 1]:[Lab Q Model Units "&amp;RawMaterials[[#This Row],[Lab Quote Count]]&amp;"]]"))),"")</f>
        <v/>
      </c>
      <c r="AG131" s="367" t="str">
        <f ca="1">IF(RawMaterials[[#This Row],[Lab Quote Count]]&gt;1,INTERCEPT(LOG(INDIRECT("RawMaterials[@[Lab Unit P 1]:[Lab Unit P "&amp;RawMaterials[[#This Row],[Lab Quote Count]]&amp;"]]")),LOG(INDIRECT("RawMaterials[@[Lab Q Model Units 1]:[Lab Q Model Units "&amp;RawMaterials[[#This Row],[Lab Quote Count]]&amp;"]]"))),"")</f>
        <v/>
      </c>
      <c r="AH131" s="368" t="str">
        <f>IF(RawMaterials[[#This Row],[Material Type]]="Metal Precursor","D13",IF(RawMaterials[[#This Row],[Material Type]]="Ligand","D13","D12"))</f>
        <v>D12</v>
      </c>
      <c r="AI131" s="369" t="str">
        <f ca="1">IF(RawMaterials[[#This Row],[Lab Quote Count]]&gt;1,10^RawMaterials[[#This Row],[Lab Log-Log Intercept]]*INDIRECT(RawMaterials[[#This Row],[Basis Cell]])^RawMaterials[[#This Row],[Lab Log-Log Slope]],"&gt;&gt;&gt; Enter 2 or more lab quotes &lt;&lt;&lt;")</f>
        <v>&gt;&gt;&gt; Enter 2 or more lab quotes &lt;&lt;&lt;</v>
      </c>
      <c r="AJ1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131" s="372">
        <f>IF(ISTEXT(RawMaterials[[#This Row],[Unit price in quote year]]),"Check calcs",RawMaterials[[#This Row],[Unit price in quote year]]/VLOOKUP(RawMaterials[[#This Row],[Quote Year]],ChemPPI[],14,FALSE)*VLOOKUP(BasisYear,ChemPPI[],14,FALSE))</f>
        <v>0.46816870549570938</v>
      </c>
      <c r="AM131" s="373" t="str">
        <f t="shared" si="1"/>
        <v>$/lb (2016)</v>
      </c>
    </row>
    <row r="132" spans="1:39">
      <c r="A132" s="263" t="s">
        <v>1239</v>
      </c>
      <c r="B132" s="264"/>
      <c r="C132" s="271"/>
      <c r="D132" s="365"/>
      <c r="E132" s="264">
        <v>100</v>
      </c>
      <c r="F132" s="264"/>
      <c r="G132" s="271"/>
      <c r="H132" s="271"/>
      <c r="I132" s="268"/>
      <c r="J132" s="271"/>
      <c r="K132" s="271"/>
      <c r="L132" s="271"/>
      <c r="M132" s="271"/>
      <c r="N132" s="271"/>
      <c r="O132" s="271"/>
      <c r="P132" s="265">
        <v>0.36499999999999999</v>
      </c>
      <c r="Q132" s="264">
        <v>1</v>
      </c>
      <c r="R132" s="264" t="s">
        <v>20</v>
      </c>
      <c r="S132" s="264">
        <v>2008</v>
      </c>
      <c r="T132" s="266" t="s">
        <v>163</v>
      </c>
      <c r="U132" s="267">
        <v>42653</v>
      </c>
      <c r="V132" s="269"/>
      <c r="W132" s="366">
        <f>COUNT(RawMaterials[[#This Row],[Lab Quantity 1]:[Lab Quantity 4]])</f>
        <v>0</v>
      </c>
      <c r="X1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2" s="367" t="e">
        <f>RawMaterials[[#This Row],[Lab Price 1]]/RawMaterials[[#This Row],[Lab Q Model Units 1]]</f>
        <v>#N/A</v>
      </c>
      <c r="AC132" s="367" t="e">
        <f>RawMaterials[[#This Row],[Lab Price 2]]/RawMaterials[[#This Row],[Lab Q Model Units 2]]</f>
        <v>#N/A</v>
      </c>
      <c r="AD132" s="367" t="e">
        <f>RawMaterials[[#This Row],[Lab Price 3]]/RawMaterials[[#This Row],[Lab Q Model Units 3]]</f>
        <v>#N/A</v>
      </c>
      <c r="AE132" s="367" t="e">
        <f>RawMaterials[[#This Row],[Lab Price 4]]/RawMaterials[[#This Row],[Lab Q Model Units 4]]</f>
        <v>#N/A</v>
      </c>
      <c r="AF132" s="367" t="str">
        <f ca="1">IF(RawMaterials[[#This Row],[Lab Quote Count]]&gt;1,SLOPE(LOG(INDIRECT("RawMaterials[@[Lab Unit P 1]:[Lab Unit P "&amp;RawMaterials[[#This Row],[Lab Quote Count]]&amp;"]]")),LOG(INDIRECT("RawMaterials[@[Lab Q Model Units 1]:[Lab Q Model Units "&amp;RawMaterials[[#This Row],[Lab Quote Count]]&amp;"]]"))),"")</f>
        <v/>
      </c>
      <c r="AG132" s="367" t="str">
        <f ca="1">IF(RawMaterials[[#This Row],[Lab Quote Count]]&gt;1,INTERCEPT(LOG(INDIRECT("RawMaterials[@[Lab Unit P 1]:[Lab Unit P "&amp;RawMaterials[[#This Row],[Lab Quote Count]]&amp;"]]")),LOG(INDIRECT("RawMaterials[@[Lab Q Model Units 1]:[Lab Q Model Units "&amp;RawMaterials[[#This Row],[Lab Quote Count]]&amp;"]]"))),"")</f>
        <v/>
      </c>
      <c r="AH132" s="368" t="str">
        <f>IF(RawMaterials[[#This Row],[Material Type]]="Metal Precursor","D13",IF(RawMaterials[[#This Row],[Material Type]]="Ligand","D13","D12"))</f>
        <v>D12</v>
      </c>
      <c r="AI132" s="369" t="str">
        <f ca="1">IF(RawMaterials[[#This Row],[Lab Quote Count]]&gt;1,10^RawMaterials[[#This Row],[Lab Log-Log Intercept]]*INDIRECT(RawMaterials[[#This Row],[Basis Cell]])^RawMaterials[[#This Row],[Lab Log-Log Slope]],"&gt;&gt;&gt; Enter 2 or more lab quotes &lt;&lt;&lt;")</f>
        <v>&gt;&gt;&gt; Enter 2 or more lab quotes &lt;&lt;&lt;</v>
      </c>
      <c r="AJ1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0.36499999999999999</v>
      </c>
      <c r="AL132" s="372">
        <f>IF(ISTEXT(RawMaterials[[#This Row],[Unit price in quote year]]),"Check calcs",RawMaterials[[#This Row],[Unit price in quote year]]/VLOOKUP(RawMaterials[[#This Row],[Quote Year]],ChemPPI[],14,FALSE)*VLOOKUP(BasisYear,ChemPPI[],14,FALSE))</f>
        <v>0.42720394376483478</v>
      </c>
      <c r="AM132" s="373" t="str">
        <f t="shared" si="1"/>
        <v>$/lb (2016)</v>
      </c>
    </row>
    <row r="133" spans="1:39">
      <c r="A133" s="263" t="s">
        <v>1240</v>
      </c>
      <c r="B133" s="264"/>
      <c r="C133" s="271"/>
      <c r="D133" s="365"/>
      <c r="E133" s="264">
        <v>60</v>
      </c>
      <c r="F133" s="264"/>
      <c r="G133" s="271"/>
      <c r="H133" s="271"/>
      <c r="I133" s="268"/>
      <c r="J133" s="271"/>
      <c r="K133" s="271"/>
      <c r="L133" s="271"/>
      <c r="M133" s="271"/>
      <c r="N133" s="271"/>
      <c r="O133" s="271"/>
      <c r="P133" s="265">
        <v>0.53500000000000003</v>
      </c>
      <c r="Q133" s="264">
        <v>1</v>
      </c>
      <c r="R133" s="264" t="s">
        <v>20</v>
      </c>
      <c r="S133" s="264">
        <v>2006</v>
      </c>
      <c r="T133" s="266" t="s">
        <v>163</v>
      </c>
      <c r="U133" s="267">
        <v>42653</v>
      </c>
      <c r="V133" s="269"/>
      <c r="W133" s="366">
        <f>COUNT(RawMaterials[[#This Row],[Lab Quantity 1]:[Lab Quantity 4]])</f>
        <v>0</v>
      </c>
      <c r="X1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3" s="367" t="e">
        <f>RawMaterials[[#This Row],[Lab Price 1]]/RawMaterials[[#This Row],[Lab Q Model Units 1]]</f>
        <v>#N/A</v>
      </c>
      <c r="AC133" s="367" t="e">
        <f>RawMaterials[[#This Row],[Lab Price 2]]/RawMaterials[[#This Row],[Lab Q Model Units 2]]</f>
        <v>#N/A</v>
      </c>
      <c r="AD133" s="367" t="e">
        <f>RawMaterials[[#This Row],[Lab Price 3]]/RawMaterials[[#This Row],[Lab Q Model Units 3]]</f>
        <v>#N/A</v>
      </c>
      <c r="AE133" s="367" t="e">
        <f>RawMaterials[[#This Row],[Lab Price 4]]/RawMaterials[[#This Row],[Lab Q Model Units 4]]</f>
        <v>#N/A</v>
      </c>
      <c r="AF133" s="367" t="str">
        <f ca="1">IF(RawMaterials[[#This Row],[Lab Quote Count]]&gt;1,SLOPE(LOG(INDIRECT("RawMaterials[@[Lab Unit P 1]:[Lab Unit P "&amp;RawMaterials[[#This Row],[Lab Quote Count]]&amp;"]]")),LOG(INDIRECT("RawMaterials[@[Lab Q Model Units 1]:[Lab Q Model Units "&amp;RawMaterials[[#This Row],[Lab Quote Count]]&amp;"]]"))),"")</f>
        <v/>
      </c>
      <c r="AG133" s="367" t="str">
        <f ca="1">IF(RawMaterials[[#This Row],[Lab Quote Count]]&gt;1,INTERCEPT(LOG(INDIRECT("RawMaterials[@[Lab Unit P 1]:[Lab Unit P "&amp;RawMaterials[[#This Row],[Lab Quote Count]]&amp;"]]")),LOG(INDIRECT("RawMaterials[@[Lab Q Model Units 1]:[Lab Q Model Units "&amp;RawMaterials[[#This Row],[Lab Quote Count]]&amp;"]]"))),"")</f>
        <v/>
      </c>
      <c r="AH133" s="368" t="str">
        <f>IF(RawMaterials[[#This Row],[Material Type]]="Metal Precursor","D13",IF(RawMaterials[[#This Row],[Material Type]]="Ligand","D13","D12"))</f>
        <v>D12</v>
      </c>
      <c r="AI133" s="369" t="str">
        <f ca="1">IF(RawMaterials[[#This Row],[Lab Quote Count]]&gt;1,10^RawMaterials[[#This Row],[Lab Log-Log Intercept]]*INDIRECT(RawMaterials[[#This Row],[Basis Cell]])^RawMaterials[[#This Row],[Lab Log-Log Slope]],"&gt;&gt;&gt; Enter 2 or more lab quotes &lt;&lt;&lt;")</f>
        <v>&gt;&gt;&gt; Enter 2 or more lab quotes &lt;&lt;&lt;</v>
      </c>
      <c r="AJ1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133" s="372">
        <f>IF(ISTEXT(RawMaterials[[#This Row],[Unit price in quote year]]),"Check calcs",RawMaterials[[#This Row],[Unit price in quote year]]/VLOOKUP(RawMaterials[[#This Row],[Quote Year]],ChemPPI[],14,FALSE)*VLOOKUP(BasisYear,ChemPPI[],14,FALSE))</f>
        <v>0.72611026422764247</v>
      </c>
      <c r="AM133" s="373" t="str">
        <f t="shared" si="1"/>
        <v>$/lb (2016)</v>
      </c>
    </row>
    <row r="134" spans="1:39">
      <c r="A134" s="263" t="s">
        <v>1241</v>
      </c>
      <c r="B134" s="264"/>
      <c r="C134" s="271"/>
      <c r="D134" s="365"/>
      <c r="E134" s="264">
        <v>60</v>
      </c>
      <c r="F134" s="264"/>
      <c r="G134" s="271"/>
      <c r="H134" s="271"/>
      <c r="I134" s="268"/>
      <c r="J134" s="271"/>
      <c r="K134" s="271"/>
      <c r="L134" s="271"/>
      <c r="M134" s="271"/>
      <c r="N134" s="271"/>
      <c r="O134" s="271"/>
      <c r="P134" s="265">
        <v>0.60499999999999998</v>
      </c>
      <c r="Q134" s="264">
        <v>1</v>
      </c>
      <c r="R134" s="264" t="s">
        <v>20</v>
      </c>
      <c r="S134" s="264">
        <v>2006</v>
      </c>
      <c r="T134" s="266" t="s">
        <v>163</v>
      </c>
      <c r="U134" s="267">
        <v>42653</v>
      </c>
      <c r="V134" s="269"/>
      <c r="W134" s="366">
        <f>COUNT(RawMaterials[[#This Row],[Lab Quantity 1]:[Lab Quantity 4]])</f>
        <v>0</v>
      </c>
      <c r="X1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4" s="367" t="e">
        <f>RawMaterials[[#This Row],[Lab Price 1]]/RawMaterials[[#This Row],[Lab Q Model Units 1]]</f>
        <v>#N/A</v>
      </c>
      <c r="AC134" s="367" t="e">
        <f>RawMaterials[[#This Row],[Lab Price 2]]/RawMaterials[[#This Row],[Lab Q Model Units 2]]</f>
        <v>#N/A</v>
      </c>
      <c r="AD134" s="367" t="e">
        <f>RawMaterials[[#This Row],[Lab Price 3]]/RawMaterials[[#This Row],[Lab Q Model Units 3]]</f>
        <v>#N/A</v>
      </c>
      <c r="AE134" s="367" t="e">
        <f>RawMaterials[[#This Row],[Lab Price 4]]/RawMaterials[[#This Row],[Lab Q Model Units 4]]</f>
        <v>#N/A</v>
      </c>
      <c r="AF134" s="367" t="str">
        <f ca="1">IF(RawMaterials[[#This Row],[Lab Quote Count]]&gt;1,SLOPE(LOG(INDIRECT("RawMaterials[@[Lab Unit P 1]:[Lab Unit P "&amp;RawMaterials[[#This Row],[Lab Quote Count]]&amp;"]]")),LOG(INDIRECT("RawMaterials[@[Lab Q Model Units 1]:[Lab Q Model Units "&amp;RawMaterials[[#This Row],[Lab Quote Count]]&amp;"]]"))),"")</f>
        <v/>
      </c>
      <c r="AG134" s="367" t="str">
        <f ca="1">IF(RawMaterials[[#This Row],[Lab Quote Count]]&gt;1,INTERCEPT(LOG(INDIRECT("RawMaterials[@[Lab Unit P 1]:[Lab Unit P "&amp;RawMaterials[[#This Row],[Lab Quote Count]]&amp;"]]")),LOG(INDIRECT("RawMaterials[@[Lab Q Model Units 1]:[Lab Q Model Units "&amp;RawMaterials[[#This Row],[Lab Quote Count]]&amp;"]]"))),"")</f>
        <v/>
      </c>
      <c r="AH134" s="368" t="str">
        <f>IF(RawMaterials[[#This Row],[Material Type]]="Metal Precursor","D13",IF(RawMaterials[[#This Row],[Material Type]]="Ligand","D13","D12"))</f>
        <v>D12</v>
      </c>
      <c r="AI134" s="369" t="str">
        <f ca="1">IF(RawMaterials[[#This Row],[Lab Quote Count]]&gt;1,10^RawMaterials[[#This Row],[Lab Log-Log Intercept]]*INDIRECT(RawMaterials[[#This Row],[Basis Cell]])^RawMaterials[[#This Row],[Lab Log-Log Slope]],"&gt;&gt;&gt; Enter 2 or more lab quotes &lt;&lt;&lt;")</f>
        <v>&gt;&gt;&gt; Enter 2 or more lab quotes &lt;&lt;&lt;</v>
      </c>
      <c r="AJ1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134" s="372">
        <f>IF(ISTEXT(RawMaterials[[#This Row],[Unit price in quote year]]),"Check calcs",RawMaterials[[#This Row],[Unit price in quote year]]/VLOOKUP(RawMaterials[[#This Row],[Quote Year]],ChemPPI[],14,FALSE)*VLOOKUP(BasisYear,ChemPPI[],14,FALSE))</f>
        <v>0.82111534552845533</v>
      </c>
      <c r="AM134" s="373" t="str">
        <f t="shared" si="1"/>
        <v>$/lb (2016)</v>
      </c>
    </row>
    <row r="135" spans="1:39">
      <c r="A135" s="263" t="s">
        <v>1242</v>
      </c>
      <c r="B135" s="264"/>
      <c r="C135" s="271"/>
      <c r="D135" s="365"/>
      <c r="E135" s="264">
        <v>70</v>
      </c>
      <c r="F135" s="264"/>
      <c r="G135" s="271"/>
      <c r="H135" s="271"/>
      <c r="I135" s="268"/>
      <c r="J135" s="271"/>
      <c r="K135" s="271"/>
      <c r="L135" s="271"/>
      <c r="M135" s="271"/>
      <c r="N135" s="271"/>
      <c r="O135" s="271"/>
      <c r="P135" s="265">
        <v>0.54249999999999998</v>
      </c>
      <c r="Q135" s="264">
        <v>1</v>
      </c>
      <c r="R135" s="264" t="s">
        <v>20</v>
      </c>
      <c r="S135" s="264">
        <v>2006</v>
      </c>
      <c r="T135" s="266" t="s">
        <v>163</v>
      </c>
      <c r="U135" s="267">
        <v>42653</v>
      </c>
      <c r="V135" s="269"/>
      <c r="W135" s="366">
        <f>COUNT(RawMaterials[[#This Row],[Lab Quantity 1]:[Lab Quantity 4]])</f>
        <v>0</v>
      </c>
      <c r="X1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5" s="367" t="e">
        <f>RawMaterials[[#This Row],[Lab Price 1]]/RawMaterials[[#This Row],[Lab Q Model Units 1]]</f>
        <v>#N/A</v>
      </c>
      <c r="AC135" s="367" t="e">
        <f>RawMaterials[[#This Row],[Lab Price 2]]/RawMaterials[[#This Row],[Lab Q Model Units 2]]</f>
        <v>#N/A</v>
      </c>
      <c r="AD135" s="367" t="e">
        <f>RawMaterials[[#This Row],[Lab Price 3]]/RawMaterials[[#This Row],[Lab Q Model Units 3]]</f>
        <v>#N/A</v>
      </c>
      <c r="AE135" s="367" t="e">
        <f>RawMaterials[[#This Row],[Lab Price 4]]/RawMaterials[[#This Row],[Lab Q Model Units 4]]</f>
        <v>#N/A</v>
      </c>
      <c r="AF135" s="367" t="str">
        <f ca="1">IF(RawMaterials[[#This Row],[Lab Quote Count]]&gt;1,SLOPE(LOG(INDIRECT("RawMaterials[@[Lab Unit P 1]:[Lab Unit P "&amp;RawMaterials[[#This Row],[Lab Quote Count]]&amp;"]]")),LOG(INDIRECT("RawMaterials[@[Lab Q Model Units 1]:[Lab Q Model Units "&amp;RawMaterials[[#This Row],[Lab Quote Count]]&amp;"]]"))),"")</f>
        <v/>
      </c>
      <c r="AG135" s="367" t="str">
        <f ca="1">IF(RawMaterials[[#This Row],[Lab Quote Count]]&gt;1,INTERCEPT(LOG(INDIRECT("RawMaterials[@[Lab Unit P 1]:[Lab Unit P "&amp;RawMaterials[[#This Row],[Lab Quote Count]]&amp;"]]")),LOG(INDIRECT("RawMaterials[@[Lab Q Model Units 1]:[Lab Q Model Units "&amp;RawMaterials[[#This Row],[Lab Quote Count]]&amp;"]]"))),"")</f>
        <v/>
      </c>
      <c r="AH135" s="368" t="str">
        <f>IF(RawMaterials[[#This Row],[Material Type]]="Metal Precursor","D13",IF(RawMaterials[[#This Row],[Material Type]]="Ligand","D13","D12"))</f>
        <v>D12</v>
      </c>
      <c r="AI135" s="369" t="str">
        <f ca="1">IF(RawMaterials[[#This Row],[Lab Quote Count]]&gt;1,10^RawMaterials[[#This Row],[Lab Log-Log Intercept]]*INDIRECT(RawMaterials[[#This Row],[Basis Cell]])^RawMaterials[[#This Row],[Lab Log-Log Slope]],"&gt;&gt;&gt; Enter 2 or more lab quotes &lt;&lt;&lt;")</f>
        <v>&gt;&gt;&gt; Enter 2 or more lab quotes &lt;&lt;&lt;</v>
      </c>
      <c r="AJ1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0.54249999999999998</v>
      </c>
      <c r="AL135" s="372">
        <f>IF(ISTEXT(RawMaterials[[#This Row],[Unit price in quote year]]),"Check calcs",RawMaterials[[#This Row],[Unit price in quote year]]/VLOOKUP(RawMaterials[[#This Row],[Quote Year]],ChemPPI[],14,FALSE)*VLOOKUP(BasisYear,ChemPPI[],14,FALSE))</f>
        <v>0.73628938008130085</v>
      </c>
      <c r="AM135" s="373" t="str">
        <f t="shared" si="1"/>
        <v>$/lb (2016)</v>
      </c>
    </row>
    <row r="136" spans="1:39">
      <c r="A136" s="263" t="s">
        <v>1243</v>
      </c>
      <c r="B136" s="264"/>
      <c r="C136" s="271"/>
      <c r="D136" s="365"/>
      <c r="E136" s="264">
        <v>100</v>
      </c>
      <c r="F136" s="264"/>
      <c r="G136" s="271"/>
      <c r="H136" s="271"/>
      <c r="I136" s="268"/>
      <c r="J136" s="271"/>
      <c r="K136" s="271"/>
      <c r="L136" s="271"/>
      <c r="M136" s="271"/>
      <c r="N136" s="271"/>
      <c r="O136" s="271"/>
      <c r="P136" s="265">
        <v>7.95</v>
      </c>
      <c r="Q136" s="264">
        <v>1</v>
      </c>
      <c r="R136" s="264" t="s">
        <v>71</v>
      </c>
      <c r="S136" s="264">
        <v>2006</v>
      </c>
      <c r="T136" s="266" t="s">
        <v>163</v>
      </c>
      <c r="U136" s="267">
        <v>42653</v>
      </c>
      <c r="V136" s="269"/>
      <c r="W136" s="366">
        <f>COUNT(RawMaterials[[#This Row],[Lab Quantity 1]:[Lab Quantity 4]])</f>
        <v>0</v>
      </c>
      <c r="X1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6" s="367" t="e">
        <f>RawMaterials[[#This Row],[Lab Price 1]]/RawMaterials[[#This Row],[Lab Q Model Units 1]]</f>
        <v>#N/A</v>
      </c>
      <c r="AC136" s="367" t="e">
        <f>RawMaterials[[#This Row],[Lab Price 2]]/RawMaterials[[#This Row],[Lab Q Model Units 2]]</f>
        <v>#N/A</v>
      </c>
      <c r="AD136" s="367" t="e">
        <f>RawMaterials[[#This Row],[Lab Price 3]]/RawMaterials[[#This Row],[Lab Q Model Units 3]]</f>
        <v>#N/A</v>
      </c>
      <c r="AE136" s="367" t="e">
        <f>RawMaterials[[#This Row],[Lab Price 4]]/RawMaterials[[#This Row],[Lab Q Model Units 4]]</f>
        <v>#N/A</v>
      </c>
      <c r="AF136" s="367" t="str">
        <f ca="1">IF(RawMaterials[[#This Row],[Lab Quote Count]]&gt;1,SLOPE(LOG(INDIRECT("RawMaterials[@[Lab Unit P 1]:[Lab Unit P "&amp;RawMaterials[[#This Row],[Lab Quote Count]]&amp;"]]")),LOG(INDIRECT("RawMaterials[@[Lab Q Model Units 1]:[Lab Q Model Units "&amp;RawMaterials[[#This Row],[Lab Quote Count]]&amp;"]]"))),"")</f>
        <v/>
      </c>
      <c r="AG136" s="367" t="str">
        <f ca="1">IF(RawMaterials[[#This Row],[Lab Quote Count]]&gt;1,INTERCEPT(LOG(INDIRECT("RawMaterials[@[Lab Unit P 1]:[Lab Unit P "&amp;RawMaterials[[#This Row],[Lab Quote Count]]&amp;"]]")),LOG(INDIRECT("RawMaterials[@[Lab Q Model Units 1]:[Lab Q Model Units "&amp;RawMaterials[[#This Row],[Lab Quote Count]]&amp;"]]"))),"")</f>
        <v/>
      </c>
      <c r="AH136" s="368" t="str">
        <f>IF(RawMaterials[[#This Row],[Material Type]]="Metal Precursor","D13",IF(RawMaterials[[#This Row],[Material Type]]="Ligand","D13","D12"))</f>
        <v>D12</v>
      </c>
      <c r="AI136" s="369" t="str">
        <f ca="1">IF(RawMaterials[[#This Row],[Lab Quote Count]]&gt;1,10^RawMaterials[[#This Row],[Lab Log-Log Intercept]]*INDIRECT(RawMaterials[[#This Row],[Basis Cell]])^RawMaterials[[#This Row],[Lab Log-Log Slope]],"&gt;&gt;&gt; Enter 2 or more lab quotes &lt;&lt;&lt;")</f>
        <v>&gt;&gt;&gt; Enter 2 or more lab quotes &lt;&lt;&lt;</v>
      </c>
      <c r="AJ1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3.6060593415000004</v>
      </c>
      <c r="AL136" s="372">
        <f>IF(ISTEXT(RawMaterials[[#This Row],[Unit price in quote year]]),"Check calcs",RawMaterials[[#This Row],[Unit price in quote year]]/VLOOKUP(RawMaterials[[#This Row],[Quote Year]],ChemPPI[],14,FALSE)*VLOOKUP(BasisYear,ChemPPI[],14,FALSE))</f>
        <v>4.8941994416394827</v>
      </c>
      <c r="AM136" s="373" t="str">
        <f t="shared" si="1"/>
        <v>$/lb (2016)</v>
      </c>
    </row>
    <row r="137" spans="1:39">
      <c r="A137" s="263" t="s">
        <v>1244</v>
      </c>
      <c r="B137" s="264"/>
      <c r="C137" s="271"/>
      <c r="D137" s="365"/>
      <c r="E137" s="264">
        <v>100</v>
      </c>
      <c r="F137" s="264"/>
      <c r="G137" s="271"/>
      <c r="H137" s="271"/>
      <c r="I137" s="268"/>
      <c r="J137" s="271"/>
      <c r="K137" s="271"/>
      <c r="L137" s="271"/>
      <c r="M137" s="271"/>
      <c r="N137" s="271"/>
      <c r="O137" s="271"/>
      <c r="P137" s="265">
        <v>11.45</v>
      </c>
      <c r="Q137" s="264">
        <v>1</v>
      </c>
      <c r="R137" s="264" t="s">
        <v>71</v>
      </c>
      <c r="S137" s="264">
        <v>2006</v>
      </c>
      <c r="T137" s="266" t="s">
        <v>163</v>
      </c>
      <c r="U137" s="267">
        <v>42653</v>
      </c>
      <c r="V137" s="269"/>
      <c r="W137" s="366">
        <f>COUNT(RawMaterials[[#This Row],[Lab Quantity 1]:[Lab Quantity 4]])</f>
        <v>0</v>
      </c>
      <c r="X1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7" s="367" t="e">
        <f>RawMaterials[[#This Row],[Lab Price 1]]/RawMaterials[[#This Row],[Lab Q Model Units 1]]</f>
        <v>#N/A</v>
      </c>
      <c r="AC137" s="367" t="e">
        <f>RawMaterials[[#This Row],[Lab Price 2]]/RawMaterials[[#This Row],[Lab Q Model Units 2]]</f>
        <v>#N/A</v>
      </c>
      <c r="AD137" s="367" t="e">
        <f>RawMaterials[[#This Row],[Lab Price 3]]/RawMaterials[[#This Row],[Lab Q Model Units 3]]</f>
        <v>#N/A</v>
      </c>
      <c r="AE137" s="367" t="e">
        <f>RawMaterials[[#This Row],[Lab Price 4]]/RawMaterials[[#This Row],[Lab Q Model Units 4]]</f>
        <v>#N/A</v>
      </c>
      <c r="AF137" s="367" t="str">
        <f ca="1">IF(RawMaterials[[#This Row],[Lab Quote Count]]&gt;1,SLOPE(LOG(INDIRECT("RawMaterials[@[Lab Unit P 1]:[Lab Unit P "&amp;RawMaterials[[#This Row],[Lab Quote Count]]&amp;"]]")),LOG(INDIRECT("RawMaterials[@[Lab Q Model Units 1]:[Lab Q Model Units "&amp;RawMaterials[[#This Row],[Lab Quote Count]]&amp;"]]"))),"")</f>
        <v/>
      </c>
      <c r="AG137" s="367" t="str">
        <f ca="1">IF(RawMaterials[[#This Row],[Lab Quote Count]]&gt;1,INTERCEPT(LOG(INDIRECT("RawMaterials[@[Lab Unit P 1]:[Lab Unit P "&amp;RawMaterials[[#This Row],[Lab Quote Count]]&amp;"]]")),LOG(INDIRECT("RawMaterials[@[Lab Q Model Units 1]:[Lab Q Model Units "&amp;RawMaterials[[#This Row],[Lab Quote Count]]&amp;"]]"))),"")</f>
        <v/>
      </c>
      <c r="AH137" s="368" t="str">
        <f>IF(RawMaterials[[#This Row],[Material Type]]="Metal Precursor","D13",IF(RawMaterials[[#This Row],[Material Type]]="Ligand","D13","D12"))</f>
        <v>D12</v>
      </c>
      <c r="AI137" s="369" t="str">
        <f ca="1">IF(RawMaterials[[#This Row],[Lab Quote Count]]&gt;1,10^RawMaterials[[#This Row],[Lab Log-Log Intercept]]*INDIRECT(RawMaterials[[#This Row],[Basis Cell]])^RawMaterials[[#This Row],[Lab Log-Log Slope]],"&gt;&gt;&gt; Enter 2 or more lab quotes &lt;&lt;&lt;")</f>
        <v>&gt;&gt;&gt; Enter 2 or more lab quotes &lt;&lt;&lt;</v>
      </c>
      <c r="AJ1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5.1936326365000003</v>
      </c>
      <c r="AL137" s="372">
        <f>IF(ISTEXT(RawMaterials[[#This Row],[Unit price in quote year]]),"Check calcs",RawMaterials[[#This Row],[Unit price in quote year]]/VLOOKUP(RawMaterials[[#This Row],[Quote Year]],ChemPPI[],14,FALSE)*VLOOKUP(BasisYear,ChemPPI[],14,FALSE))</f>
        <v>7.0488784411034056</v>
      </c>
      <c r="AM137" s="373" t="str">
        <f t="shared" si="1"/>
        <v>$/lb (2016)</v>
      </c>
    </row>
    <row r="138" spans="1:39">
      <c r="A138" s="263" t="s">
        <v>1245</v>
      </c>
      <c r="B138" s="264"/>
      <c r="C138" s="271"/>
      <c r="D138" s="365"/>
      <c r="E138" s="264">
        <v>100</v>
      </c>
      <c r="F138" s="264"/>
      <c r="G138" s="271"/>
      <c r="H138" s="271"/>
      <c r="I138" s="268"/>
      <c r="J138" s="271"/>
      <c r="K138" s="271"/>
      <c r="L138" s="271"/>
      <c r="M138" s="271"/>
      <c r="N138" s="271"/>
      <c r="O138" s="271"/>
      <c r="P138" s="265">
        <v>0.75</v>
      </c>
      <c r="Q138" s="264">
        <v>1</v>
      </c>
      <c r="R138" s="264" t="s">
        <v>20</v>
      </c>
      <c r="S138" s="264">
        <v>2006</v>
      </c>
      <c r="T138" s="266" t="s">
        <v>163</v>
      </c>
      <c r="U138" s="267">
        <v>42653</v>
      </c>
      <c r="V138" s="269"/>
      <c r="W138" s="366">
        <f>COUNT(RawMaterials[[#This Row],[Lab Quantity 1]:[Lab Quantity 4]])</f>
        <v>0</v>
      </c>
      <c r="X1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8" s="367" t="e">
        <f>RawMaterials[[#This Row],[Lab Price 1]]/RawMaterials[[#This Row],[Lab Q Model Units 1]]</f>
        <v>#N/A</v>
      </c>
      <c r="AC138" s="367" t="e">
        <f>RawMaterials[[#This Row],[Lab Price 2]]/RawMaterials[[#This Row],[Lab Q Model Units 2]]</f>
        <v>#N/A</v>
      </c>
      <c r="AD138" s="367" t="e">
        <f>RawMaterials[[#This Row],[Lab Price 3]]/RawMaterials[[#This Row],[Lab Q Model Units 3]]</f>
        <v>#N/A</v>
      </c>
      <c r="AE138" s="367" t="e">
        <f>RawMaterials[[#This Row],[Lab Price 4]]/RawMaterials[[#This Row],[Lab Q Model Units 4]]</f>
        <v>#N/A</v>
      </c>
      <c r="AF138" s="367" t="str">
        <f ca="1">IF(RawMaterials[[#This Row],[Lab Quote Count]]&gt;1,SLOPE(LOG(INDIRECT("RawMaterials[@[Lab Unit P 1]:[Lab Unit P "&amp;RawMaterials[[#This Row],[Lab Quote Count]]&amp;"]]")),LOG(INDIRECT("RawMaterials[@[Lab Q Model Units 1]:[Lab Q Model Units "&amp;RawMaterials[[#This Row],[Lab Quote Count]]&amp;"]]"))),"")</f>
        <v/>
      </c>
      <c r="AG138" s="367" t="str">
        <f ca="1">IF(RawMaterials[[#This Row],[Lab Quote Count]]&gt;1,INTERCEPT(LOG(INDIRECT("RawMaterials[@[Lab Unit P 1]:[Lab Unit P "&amp;RawMaterials[[#This Row],[Lab Quote Count]]&amp;"]]")),LOG(INDIRECT("RawMaterials[@[Lab Q Model Units 1]:[Lab Q Model Units "&amp;RawMaterials[[#This Row],[Lab Quote Count]]&amp;"]]"))),"")</f>
        <v/>
      </c>
      <c r="AH138" s="368" t="str">
        <f>IF(RawMaterials[[#This Row],[Material Type]]="Metal Precursor","D13",IF(RawMaterials[[#This Row],[Material Type]]="Ligand","D13","D12"))</f>
        <v>D12</v>
      </c>
      <c r="AI138" s="369" t="str">
        <f ca="1">IF(RawMaterials[[#This Row],[Lab Quote Count]]&gt;1,10^RawMaterials[[#This Row],[Lab Log-Log Intercept]]*INDIRECT(RawMaterials[[#This Row],[Basis Cell]])^RawMaterials[[#This Row],[Lab Log-Log Slope]],"&gt;&gt;&gt; Enter 2 or more lab quotes &lt;&lt;&lt;")</f>
        <v>&gt;&gt;&gt; Enter 2 or more lab quotes &lt;&lt;&lt;</v>
      </c>
      <c r="AJ1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38" s="372">
        <f>IF(ISTEXT(RawMaterials[[#This Row],[Unit price in quote year]]),"Check calcs",RawMaterials[[#This Row],[Unit price in quote year]]/VLOOKUP(RawMaterials[[#This Row],[Quote Year]],ChemPPI[],14,FALSE)*VLOOKUP(BasisYear,ChemPPI[],14,FALSE))</f>
        <v>1.0179115853658538</v>
      </c>
      <c r="AM138" s="373" t="str">
        <f t="shared" si="1"/>
        <v>$/lb (2016)</v>
      </c>
    </row>
    <row r="139" spans="1:39">
      <c r="A139" s="263" t="s">
        <v>1246</v>
      </c>
      <c r="B139" s="264"/>
      <c r="C139" s="271"/>
      <c r="D139" s="365"/>
      <c r="E139" s="264">
        <v>100</v>
      </c>
      <c r="F139" s="264"/>
      <c r="G139" s="271"/>
      <c r="H139" s="271"/>
      <c r="I139" s="268"/>
      <c r="J139" s="271"/>
      <c r="K139" s="271"/>
      <c r="L139" s="271"/>
      <c r="M139" s="271"/>
      <c r="N139" s="271"/>
      <c r="O139" s="271"/>
      <c r="P139" s="265">
        <v>0.47</v>
      </c>
      <c r="Q139" s="264">
        <v>1</v>
      </c>
      <c r="R139" s="264" t="s">
        <v>20</v>
      </c>
      <c r="S139" s="264">
        <v>2006</v>
      </c>
      <c r="T139" s="266" t="s">
        <v>163</v>
      </c>
      <c r="U139" s="267">
        <v>42653</v>
      </c>
      <c r="V139" s="269"/>
      <c r="W139" s="366">
        <f>COUNT(RawMaterials[[#This Row],[Lab Quantity 1]:[Lab Quantity 4]])</f>
        <v>0</v>
      </c>
      <c r="X1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39" s="367" t="e">
        <f>RawMaterials[[#This Row],[Lab Price 1]]/RawMaterials[[#This Row],[Lab Q Model Units 1]]</f>
        <v>#N/A</v>
      </c>
      <c r="AC139" s="367" t="e">
        <f>RawMaterials[[#This Row],[Lab Price 2]]/RawMaterials[[#This Row],[Lab Q Model Units 2]]</f>
        <v>#N/A</v>
      </c>
      <c r="AD139" s="367" t="e">
        <f>RawMaterials[[#This Row],[Lab Price 3]]/RawMaterials[[#This Row],[Lab Q Model Units 3]]</f>
        <v>#N/A</v>
      </c>
      <c r="AE139" s="367" t="e">
        <f>RawMaterials[[#This Row],[Lab Price 4]]/RawMaterials[[#This Row],[Lab Q Model Units 4]]</f>
        <v>#N/A</v>
      </c>
      <c r="AF139" s="367" t="str">
        <f ca="1">IF(RawMaterials[[#This Row],[Lab Quote Count]]&gt;1,SLOPE(LOG(INDIRECT("RawMaterials[@[Lab Unit P 1]:[Lab Unit P "&amp;RawMaterials[[#This Row],[Lab Quote Count]]&amp;"]]")),LOG(INDIRECT("RawMaterials[@[Lab Q Model Units 1]:[Lab Q Model Units "&amp;RawMaterials[[#This Row],[Lab Quote Count]]&amp;"]]"))),"")</f>
        <v/>
      </c>
      <c r="AG139" s="367" t="str">
        <f ca="1">IF(RawMaterials[[#This Row],[Lab Quote Count]]&gt;1,INTERCEPT(LOG(INDIRECT("RawMaterials[@[Lab Unit P 1]:[Lab Unit P "&amp;RawMaterials[[#This Row],[Lab Quote Count]]&amp;"]]")),LOG(INDIRECT("RawMaterials[@[Lab Q Model Units 1]:[Lab Q Model Units "&amp;RawMaterials[[#This Row],[Lab Quote Count]]&amp;"]]"))),"")</f>
        <v/>
      </c>
      <c r="AH139" s="368" t="str">
        <f>IF(RawMaterials[[#This Row],[Material Type]]="Metal Precursor","D13",IF(RawMaterials[[#This Row],[Material Type]]="Ligand","D13","D12"))</f>
        <v>D12</v>
      </c>
      <c r="AI139" s="369" t="str">
        <f ca="1">IF(RawMaterials[[#This Row],[Lab Quote Count]]&gt;1,10^RawMaterials[[#This Row],[Lab Log-Log Intercept]]*INDIRECT(RawMaterials[[#This Row],[Basis Cell]])^RawMaterials[[#This Row],[Lab Log-Log Slope]],"&gt;&gt;&gt; Enter 2 or more lab quotes &lt;&lt;&lt;")</f>
        <v>&gt;&gt;&gt; Enter 2 or more lab quotes &lt;&lt;&lt;</v>
      </c>
      <c r="AJ1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139" s="372">
        <f>IF(ISTEXT(RawMaterials[[#This Row],[Unit price in quote year]]),"Check calcs",RawMaterials[[#This Row],[Unit price in quote year]]/VLOOKUP(RawMaterials[[#This Row],[Quote Year]],ChemPPI[],14,FALSE)*VLOOKUP(BasisYear,ChemPPI[],14,FALSE))</f>
        <v>0.63789126016260178</v>
      </c>
      <c r="AM139" s="373" t="str">
        <f t="shared" si="1"/>
        <v>$/lb (2016)</v>
      </c>
    </row>
    <row r="140" spans="1:39">
      <c r="A140" s="263" t="s">
        <v>1247</v>
      </c>
      <c r="B140" s="264"/>
      <c r="C140" s="271"/>
      <c r="D140" s="365"/>
      <c r="E140" s="264">
        <v>100</v>
      </c>
      <c r="F140" s="264"/>
      <c r="G140" s="271"/>
      <c r="H140" s="271"/>
      <c r="I140" s="268"/>
      <c r="J140" s="271"/>
      <c r="K140" s="271"/>
      <c r="L140" s="271"/>
      <c r="M140" s="271"/>
      <c r="N140" s="271"/>
      <c r="O140" s="271"/>
      <c r="P140" s="265">
        <v>0.55000000000000004</v>
      </c>
      <c r="Q140" s="264">
        <v>1</v>
      </c>
      <c r="R140" s="264" t="s">
        <v>20</v>
      </c>
      <c r="S140" s="264">
        <v>2006</v>
      </c>
      <c r="T140" s="266" t="s">
        <v>163</v>
      </c>
      <c r="U140" s="267">
        <v>42653</v>
      </c>
      <c r="V140" s="269"/>
      <c r="W140" s="366">
        <f>COUNT(RawMaterials[[#This Row],[Lab Quantity 1]:[Lab Quantity 4]])</f>
        <v>0</v>
      </c>
      <c r="X1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0" s="367" t="e">
        <f>RawMaterials[[#This Row],[Lab Price 1]]/RawMaterials[[#This Row],[Lab Q Model Units 1]]</f>
        <v>#N/A</v>
      </c>
      <c r="AC140" s="367" t="e">
        <f>RawMaterials[[#This Row],[Lab Price 2]]/RawMaterials[[#This Row],[Lab Q Model Units 2]]</f>
        <v>#N/A</v>
      </c>
      <c r="AD140" s="367" t="e">
        <f>RawMaterials[[#This Row],[Lab Price 3]]/RawMaterials[[#This Row],[Lab Q Model Units 3]]</f>
        <v>#N/A</v>
      </c>
      <c r="AE140" s="367" t="e">
        <f>RawMaterials[[#This Row],[Lab Price 4]]/RawMaterials[[#This Row],[Lab Q Model Units 4]]</f>
        <v>#N/A</v>
      </c>
      <c r="AF140" s="367" t="str">
        <f ca="1">IF(RawMaterials[[#This Row],[Lab Quote Count]]&gt;1,SLOPE(LOG(INDIRECT("RawMaterials[@[Lab Unit P 1]:[Lab Unit P "&amp;RawMaterials[[#This Row],[Lab Quote Count]]&amp;"]]")),LOG(INDIRECT("RawMaterials[@[Lab Q Model Units 1]:[Lab Q Model Units "&amp;RawMaterials[[#This Row],[Lab Quote Count]]&amp;"]]"))),"")</f>
        <v/>
      </c>
      <c r="AG140" s="367" t="str">
        <f ca="1">IF(RawMaterials[[#This Row],[Lab Quote Count]]&gt;1,INTERCEPT(LOG(INDIRECT("RawMaterials[@[Lab Unit P 1]:[Lab Unit P "&amp;RawMaterials[[#This Row],[Lab Quote Count]]&amp;"]]")),LOG(INDIRECT("RawMaterials[@[Lab Q Model Units 1]:[Lab Q Model Units "&amp;RawMaterials[[#This Row],[Lab Quote Count]]&amp;"]]"))),"")</f>
        <v/>
      </c>
      <c r="AH140" s="368" t="str">
        <f>IF(RawMaterials[[#This Row],[Material Type]]="Metal Precursor","D13",IF(RawMaterials[[#This Row],[Material Type]]="Ligand","D13","D12"))</f>
        <v>D12</v>
      </c>
      <c r="AI140" s="369" t="str">
        <f ca="1">IF(RawMaterials[[#This Row],[Lab Quote Count]]&gt;1,10^RawMaterials[[#This Row],[Lab Log-Log Intercept]]*INDIRECT(RawMaterials[[#This Row],[Basis Cell]])^RawMaterials[[#This Row],[Lab Log-Log Slope]],"&gt;&gt;&gt; Enter 2 or more lab quotes &lt;&lt;&lt;")</f>
        <v>&gt;&gt;&gt; Enter 2 or more lab quotes &lt;&lt;&lt;</v>
      </c>
      <c r="AJ1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40" s="372">
        <f>IF(ISTEXT(RawMaterials[[#This Row],[Unit price in quote year]]),"Check calcs",RawMaterials[[#This Row],[Unit price in quote year]]/VLOOKUP(RawMaterials[[#This Row],[Quote Year]],ChemPPI[],14,FALSE)*VLOOKUP(BasisYear,ChemPPI[],14,FALSE))</f>
        <v>0.74646849593495956</v>
      </c>
      <c r="AM140" s="373" t="str">
        <f t="shared" si="1"/>
        <v>$/lb (2016)</v>
      </c>
    </row>
    <row r="141" spans="1:39">
      <c r="A141" s="263" t="s">
        <v>1248</v>
      </c>
      <c r="B141" s="264"/>
      <c r="C141" s="271"/>
      <c r="D141" s="365"/>
      <c r="E141" s="264">
        <v>100</v>
      </c>
      <c r="F141" s="264"/>
      <c r="G141" s="271"/>
      <c r="H141" s="271"/>
      <c r="I141" s="268"/>
      <c r="J141" s="271"/>
      <c r="K141" s="271"/>
      <c r="L141" s="271"/>
      <c r="M141" s="271"/>
      <c r="N141" s="271"/>
      <c r="O141" s="271"/>
      <c r="P141" s="265">
        <v>3.2</v>
      </c>
      <c r="Q141" s="264">
        <v>1</v>
      </c>
      <c r="R141" s="264" t="s">
        <v>71</v>
      </c>
      <c r="S141" s="264">
        <v>2006</v>
      </c>
      <c r="T141" s="266" t="s">
        <v>163</v>
      </c>
      <c r="U141" s="267">
        <v>42653</v>
      </c>
      <c r="V141" s="269"/>
      <c r="W141" s="366">
        <f>COUNT(RawMaterials[[#This Row],[Lab Quantity 1]:[Lab Quantity 4]])</f>
        <v>0</v>
      </c>
      <c r="X1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1" s="367" t="e">
        <f>RawMaterials[[#This Row],[Lab Price 1]]/RawMaterials[[#This Row],[Lab Q Model Units 1]]</f>
        <v>#N/A</v>
      </c>
      <c r="AC141" s="367" t="e">
        <f>RawMaterials[[#This Row],[Lab Price 2]]/RawMaterials[[#This Row],[Lab Q Model Units 2]]</f>
        <v>#N/A</v>
      </c>
      <c r="AD141" s="367" t="e">
        <f>RawMaterials[[#This Row],[Lab Price 3]]/RawMaterials[[#This Row],[Lab Q Model Units 3]]</f>
        <v>#N/A</v>
      </c>
      <c r="AE141" s="367" t="e">
        <f>RawMaterials[[#This Row],[Lab Price 4]]/RawMaterials[[#This Row],[Lab Q Model Units 4]]</f>
        <v>#N/A</v>
      </c>
      <c r="AF141" s="367" t="str">
        <f ca="1">IF(RawMaterials[[#This Row],[Lab Quote Count]]&gt;1,SLOPE(LOG(INDIRECT("RawMaterials[@[Lab Unit P 1]:[Lab Unit P "&amp;RawMaterials[[#This Row],[Lab Quote Count]]&amp;"]]")),LOG(INDIRECT("RawMaterials[@[Lab Q Model Units 1]:[Lab Q Model Units "&amp;RawMaterials[[#This Row],[Lab Quote Count]]&amp;"]]"))),"")</f>
        <v/>
      </c>
      <c r="AG141" s="367" t="str">
        <f ca="1">IF(RawMaterials[[#This Row],[Lab Quote Count]]&gt;1,INTERCEPT(LOG(INDIRECT("RawMaterials[@[Lab Unit P 1]:[Lab Unit P "&amp;RawMaterials[[#This Row],[Lab Quote Count]]&amp;"]]")),LOG(INDIRECT("RawMaterials[@[Lab Q Model Units 1]:[Lab Q Model Units "&amp;RawMaterials[[#This Row],[Lab Quote Count]]&amp;"]]"))),"")</f>
        <v/>
      </c>
      <c r="AH141" s="368" t="str">
        <f>IF(RawMaterials[[#This Row],[Material Type]]="Metal Precursor","D13",IF(RawMaterials[[#This Row],[Material Type]]="Ligand","D13","D12"))</f>
        <v>D12</v>
      </c>
      <c r="AI141" s="369" t="str">
        <f ca="1">IF(RawMaterials[[#This Row],[Lab Quote Count]]&gt;1,10^RawMaterials[[#This Row],[Lab Log-Log Intercept]]*INDIRECT(RawMaterials[[#This Row],[Basis Cell]])^RawMaterials[[#This Row],[Lab Log-Log Slope]],"&gt;&gt;&gt; Enter 2 or more lab quotes &lt;&lt;&lt;")</f>
        <v>&gt;&gt;&gt; Enter 2 or more lab quotes &lt;&lt;&lt;</v>
      </c>
      <c r="AJ1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141" s="372">
        <f>IF(ISTEXT(RawMaterials[[#This Row],[Unit price in quote year]]),"Check calcs",RawMaterials[[#This Row],[Unit price in quote year]]/VLOOKUP(RawMaterials[[#This Row],[Quote Year]],ChemPPI[],14,FALSE)*VLOOKUP(BasisYear,ChemPPI[],14,FALSE))</f>
        <v>1.9699922280813011</v>
      </c>
      <c r="AM141" s="373" t="str">
        <f t="shared" si="1"/>
        <v>$/lb (2016)</v>
      </c>
    </row>
    <row r="142" spans="1:39">
      <c r="A142" s="377" t="s">
        <v>177</v>
      </c>
      <c r="B142" s="379"/>
      <c r="C142" s="383"/>
      <c r="D142" s="378"/>
      <c r="E142" s="379">
        <v>100</v>
      </c>
      <c r="F142" s="379"/>
      <c r="G142" s="383"/>
      <c r="H142" s="383"/>
      <c r="I142" s="380"/>
      <c r="J142" s="383"/>
      <c r="K142" s="383"/>
      <c r="L142" s="383"/>
      <c r="M142" s="383"/>
      <c r="N142" s="383"/>
      <c r="O142" s="383"/>
      <c r="P142" s="381">
        <v>29.6</v>
      </c>
      <c r="Q142" s="264">
        <v>1</v>
      </c>
      <c r="R142" s="379" t="s">
        <v>20</v>
      </c>
      <c r="S142" s="379">
        <v>2018</v>
      </c>
      <c r="T142" s="366" t="s">
        <v>1105</v>
      </c>
      <c r="U142" s="382">
        <v>43339</v>
      </c>
      <c r="V142" s="269" t="s">
        <v>1716</v>
      </c>
      <c r="W142" s="366">
        <f>COUNT(RawMaterials[[#This Row],[Lab Quantity 1]:[Lab Quantity 4]])</f>
        <v>0</v>
      </c>
      <c r="X1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2" s="367" t="e">
        <f>RawMaterials[[#This Row],[Lab Price 1]]/RawMaterials[[#This Row],[Lab Q Model Units 1]]</f>
        <v>#N/A</v>
      </c>
      <c r="AC142" s="367" t="e">
        <f>RawMaterials[[#This Row],[Lab Price 2]]/RawMaterials[[#This Row],[Lab Q Model Units 2]]</f>
        <v>#N/A</v>
      </c>
      <c r="AD142" s="367" t="e">
        <f>RawMaterials[[#This Row],[Lab Price 3]]/RawMaterials[[#This Row],[Lab Q Model Units 3]]</f>
        <v>#N/A</v>
      </c>
      <c r="AE142" s="367" t="e">
        <f>RawMaterials[[#This Row],[Lab Price 4]]/RawMaterials[[#This Row],[Lab Q Model Units 4]]</f>
        <v>#N/A</v>
      </c>
      <c r="AF142" s="367" t="str">
        <f ca="1">IF(RawMaterials[[#This Row],[Lab Quote Count]]&gt;1,SLOPE(LOG(INDIRECT("RawMaterials[@[Lab Unit P 1]:[Lab Unit P "&amp;RawMaterials[[#This Row],[Lab Quote Count]]&amp;"]]")),LOG(INDIRECT("RawMaterials[@[Lab Q Model Units 1]:[Lab Q Model Units "&amp;RawMaterials[[#This Row],[Lab Quote Count]]&amp;"]]"))),"")</f>
        <v/>
      </c>
      <c r="AG142" s="367" t="str">
        <f ca="1">IF(RawMaterials[[#This Row],[Lab Quote Count]]&gt;1,INTERCEPT(LOG(INDIRECT("RawMaterials[@[Lab Unit P 1]:[Lab Unit P "&amp;RawMaterials[[#This Row],[Lab Quote Count]]&amp;"]]")),LOG(INDIRECT("RawMaterials[@[Lab Q Model Units 1]:[Lab Q Model Units "&amp;RawMaterials[[#This Row],[Lab Quote Count]]&amp;"]]"))),"")</f>
        <v/>
      </c>
      <c r="AH142" s="368" t="str">
        <f>IF(RawMaterials[[#This Row],[Material Type]]="Metal Precursor","D13",IF(RawMaterials[[#This Row],[Material Type]]="Ligand","D13","D12"))</f>
        <v>D12</v>
      </c>
      <c r="AI142" s="369" t="str">
        <f ca="1">IF(RawMaterials[[#This Row],[Lab Quote Count]]&gt;1,10^RawMaterials[[#This Row],[Lab Log-Log Intercept]]*INDIRECT(RawMaterials[[#This Row],[Basis Cell]])^RawMaterials[[#This Row],[Lab Log-Log Slope]],"&gt;&gt;&gt; Enter 2 or more lab quotes &lt;&lt;&lt;")</f>
        <v>&gt;&gt;&gt; Enter 2 or more lab quotes &lt;&lt;&lt;</v>
      </c>
      <c r="AJ1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29.6</v>
      </c>
      <c r="AL142" s="372">
        <f>IF(ISTEXT(RawMaterials[[#This Row],[Unit price in quote year]]),"Check calcs",RawMaterials[[#This Row],[Unit price in quote year]]/VLOOKUP(RawMaterials[[#This Row],[Quote Year]],ChemPPI[],14,FALSE)*VLOOKUP(BasisYear,ChemPPI[],14,FALSE))</f>
        <v>27.501600111312094</v>
      </c>
      <c r="AM142" s="373" t="str">
        <f t="shared" si="1"/>
        <v>$/lb (2016)</v>
      </c>
    </row>
    <row r="143" spans="1:39">
      <c r="A143" s="377" t="s">
        <v>180</v>
      </c>
      <c r="B143" s="379"/>
      <c r="C143" s="383"/>
      <c r="D143" s="378"/>
      <c r="E143" s="379">
        <v>100</v>
      </c>
      <c r="F143" s="379"/>
      <c r="G143" s="383"/>
      <c r="H143" s="383"/>
      <c r="I143" s="380"/>
      <c r="J143" s="383"/>
      <c r="K143" s="383"/>
      <c r="L143" s="383"/>
      <c r="M143" s="383"/>
      <c r="N143" s="383"/>
      <c r="O143" s="383"/>
      <c r="P143" s="381">
        <v>2.75</v>
      </c>
      <c r="Q143" s="264">
        <v>1</v>
      </c>
      <c r="R143" s="379" t="s">
        <v>20</v>
      </c>
      <c r="S143" s="379">
        <v>2018</v>
      </c>
      <c r="T143" s="366" t="s">
        <v>1105</v>
      </c>
      <c r="U143" s="382">
        <v>43339</v>
      </c>
      <c r="V143" s="269" t="s">
        <v>1716</v>
      </c>
      <c r="W143" s="366">
        <f>COUNT(RawMaterials[[#This Row],[Lab Quantity 1]:[Lab Quantity 4]])</f>
        <v>0</v>
      </c>
      <c r="X1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3" s="367" t="e">
        <f>RawMaterials[[#This Row],[Lab Price 1]]/RawMaterials[[#This Row],[Lab Q Model Units 1]]</f>
        <v>#N/A</v>
      </c>
      <c r="AC143" s="367" t="e">
        <f>RawMaterials[[#This Row],[Lab Price 2]]/RawMaterials[[#This Row],[Lab Q Model Units 2]]</f>
        <v>#N/A</v>
      </c>
      <c r="AD143" s="367" t="e">
        <f>RawMaterials[[#This Row],[Lab Price 3]]/RawMaterials[[#This Row],[Lab Q Model Units 3]]</f>
        <v>#N/A</v>
      </c>
      <c r="AE143" s="367" t="e">
        <f>RawMaterials[[#This Row],[Lab Price 4]]/RawMaterials[[#This Row],[Lab Q Model Units 4]]</f>
        <v>#N/A</v>
      </c>
      <c r="AF143" s="367" t="str">
        <f ca="1">IF(RawMaterials[[#This Row],[Lab Quote Count]]&gt;1,SLOPE(LOG(INDIRECT("RawMaterials[@[Lab Unit P 1]:[Lab Unit P "&amp;RawMaterials[[#This Row],[Lab Quote Count]]&amp;"]]")),LOG(INDIRECT("RawMaterials[@[Lab Q Model Units 1]:[Lab Q Model Units "&amp;RawMaterials[[#This Row],[Lab Quote Count]]&amp;"]]"))),"")</f>
        <v/>
      </c>
      <c r="AG143" s="367" t="str">
        <f ca="1">IF(RawMaterials[[#This Row],[Lab Quote Count]]&gt;1,INTERCEPT(LOG(INDIRECT("RawMaterials[@[Lab Unit P 1]:[Lab Unit P "&amp;RawMaterials[[#This Row],[Lab Quote Count]]&amp;"]]")),LOG(INDIRECT("RawMaterials[@[Lab Q Model Units 1]:[Lab Q Model Units "&amp;RawMaterials[[#This Row],[Lab Quote Count]]&amp;"]]"))),"")</f>
        <v/>
      </c>
      <c r="AH143" s="368" t="str">
        <f>IF(RawMaterials[[#This Row],[Material Type]]="Metal Precursor","D13",IF(RawMaterials[[#This Row],[Material Type]]="Ligand","D13","D12"))</f>
        <v>D12</v>
      </c>
      <c r="AI143" s="369" t="str">
        <f ca="1">IF(RawMaterials[[#This Row],[Lab Quote Count]]&gt;1,10^RawMaterials[[#This Row],[Lab Log-Log Intercept]]*INDIRECT(RawMaterials[[#This Row],[Basis Cell]])^RawMaterials[[#This Row],[Lab Log-Log Slope]],"&gt;&gt;&gt; Enter 2 or more lab quotes &lt;&lt;&lt;")</f>
        <v>&gt;&gt;&gt; Enter 2 or more lab quotes &lt;&lt;&lt;</v>
      </c>
      <c r="AJ1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143" s="372">
        <f>IF(ISTEXT(RawMaterials[[#This Row],[Unit price in quote year]]),"Check calcs",RawMaterials[[#This Row],[Unit price in quote year]]/VLOOKUP(RawMaterials[[#This Row],[Quote Year]],ChemPPI[],14,FALSE)*VLOOKUP(BasisYear,ChemPPI[],14,FALSE))</f>
        <v>2.5550473076387923</v>
      </c>
      <c r="AM143" s="373" t="str">
        <f t="shared" si="1"/>
        <v>$/lb (2016)</v>
      </c>
    </row>
    <row r="144" spans="1:39">
      <c r="A144" s="263" t="s">
        <v>1249</v>
      </c>
      <c r="B144" s="264"/>
      <c r="C144" s="271"/>
      <c r="D144" s="365"/>
      <c r="E144" s="264">
        <v>100</v>
      </c>
      <c r="F144" s="264"/>
      <c r="G144" s="271"/>
      <c r="H144" s="271"/>
      <c r="I144" s="268"/>
      <c r="J144" s="271"/>
      <c r="K144" s="271"/>
      <c r="L144" s="271"/>
      <c r="M144" s="271"/>
      <c r="N144" s="271"/>
      <c r="O144" s="271"/>
      <c r="P144" s="265">
        <v>10</v>
      </c>
      <c r="Q144" s="264">
        <v>1</v>
      </c>
      <c r="R144" s="264" t="s">
        <v>20</v>
      </c>
      <c r="S144" s="264">
        <v>2006</v>
      </c>
      <c r="T144" s="266" t="s">
        <v>163</v>
      </c>
      <c r="U144" s="267">
        <v>42653</v>
      </c>
      <c r="V144" s="269"/>
      <c r="W144" s="366">
        <f>COUNT(RawMaterials[[#This Row],[Lab Quantity 1]:[Lab Quantity 4]])</f>
        <v>0</v>
      </c>
      <c r="X1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4" s="367" t="e">
        <f>RawMaterials[[#This Row],[Lab Price 1]]/RawMaterials[[#This Row],[Lab Q Model Units 1]]</f>
        <v>#N/A</v>
      </c>
      <c r="AC144" s="367" t="e">
        <f>RawMaterials[[#This Row],[Lab Price 2]]/RawMaterials[[#This Row],[Lab Q Model Units 2]]</f>
        <v>#N/A</v>
      </c>
      <c r="AD144" s="367" t="e">
        <f>RawMaterials[[#This Row],[Lab Price 3]]/RawMaterials[[#This Row],[Lab Q Model Units 3]]</f>
        <v>#N/A</v>
      </c>
      <c r="AE144" s="367" t="e">
        <f>RawMaterials[[#This Row],[Lab Price 4]]/RawMaterials[[#This Row],[Lab Q Model Units 4]]</f>
        <v>#N/A</v>
      </c>
      <c r="AF144" s="367" t="str">
        <f ca="1">IF(RawMaterials[[#This Row],[Lab Quote Count]]&gt;1,SLOPE(LOG(INDIRECT("RawMaterials[@[Lab Unit P 1]:[Lab Unit P "&amp;RawMaterials[[#This Row],[Lab Quote Count]]&amp;"]]")),LOG(INDIRECT("RawMaterials[@[Lab Q Model Units 1]:[Lab Q Model Units "&amp;RawMaterials[[#This Row],[Lab Quote Count]]&amp;"]]"))),"")</f>
        <v/>
      </c>
      <c r="AG144" s="367" t="str">
        <f ca="1">IF(RawMaterials[[#This Row],[Lab Quote Count]]&gt;1,INTERCEPT(LOG(INDIRECT("RawMaterials[@[Lab Unit P 1]:[Lab Unit P "&amp;RawMaterials[[#This Row],[Lab Quote Count]]&amp;"]]")),LOG(INDIRECT("RawMaterials[@[Lab Q Model Units 1]:[Lab Q Model Units "&amp;RawMaterials[[#This Row],[Lab Quote Count]]&amp;"]]"))),"")</f>
        <v/>
      </c>
      <c r="AH144" s="368" t="str">
        <f>IF(RawMaterials[[#This Row],[Material Type]]="Metal Precursor","D13",IF(RawMaterials[[#This Row],[Material Type]]="Ligand","D13","D12"))</f>
        <v>D12</v>
      </c>
      <c r="AI144" s="369" t="str">
        <f ca="1">IF(RawMaterials[[#This Row],[Lab Quote Count]]&gt;1,10^RawMaterials[[#This Row],[Lab Log-Log Intercept]]*INDIRECT(RawMaterials[[#This Row],[Basis Cell]])^RawMaterials[[#This Row],[Lab Log-Log Slope]],"&gt;&gt;&gt; Enter 2 or more lab quotes &lt;&lt;&lt;")</f>
        <v>&gt;&gt;&gt; Enter 2 or more lab quotes &lt;&lt;&lt;</v>
      </c>
      <c r="AJ1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v>
      </c>
      <c r="AL144" s="372">
        <f>IF(ISTEXT(RawMaterials[[#This Row],[Unit price in quote year]]),"Check calcs",RawMaterials[[#This Row],[Unit price in quote year]]/VLOOKUP(RawMaterials[[#This Row],[Quote Year]],ChemPPI[],14,FALSE)*VLOOKUP(BasisYear,ChemPPI[],14,FALSE))</f>
        <v>13.572154471544717</v>
      </c>
      <c r="AM144" s="373" t="str">
        <f t="shared" ref="AM144:AM207" si="2">CurrencySymbol&amp;"/"&amp;OutMassUnit&amp;" ("&amp;BasisYear&amp;")"</f>
        <v>$/lb (2016)</v>
      </c>
    </row>
    <row r="145" spans="1:39">
      <c r="A145" s="263" t="s">
        <v>1250</v>
      </c>
      <c r="B145" s="264"/>
      <c r="C145" s="271"/>
      <c r="D145" s="365"/>
      <c r="E145" s="264">
        <v>100</v>
      </c>
      <c r="F145" s="264"/>
      <c r="G145" s="271"/>
      <c r="H145" s="271"/>
      <c r="I145" s="268"/>
      <c r="J145" s="271"/>
      <c r="K145" s="271"/>
      <c r="L145" s="271"/>
      <c r="M145" s="271"/>
      <c r="N145" s="271"/>
      <c r="O145" s="271"/>
      <c r="P145" s="265">
        <v>1.77</v>
      </c>
      <c r="Q145" s="264">
        <v>1</v>
      </c>
      <c r="R145" s="264" t="s">
        <v>20</v>
      </c>
      <c r="S145" s="264">
        <v>2006</v>
      </c>
      <c r="T145" s="266" t="s">
        <v>163</v>
      </c>
      <c r="U145" s="267">
        <v>42653</v>
      </c>
      <c r="V145" s="269"/>
      <c r="W145" s="366">
        <f>COUNT(RawMaterials[[#This Row],[Lab Quantity 1]:[Lab Quantity 4]])</f>
        <v>0</v>
      </c>
      <c r="X1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5" s="367" t="e">
        <f>RawMaterials[[#This Row],[Lab Price 1]]/RawMaterials[[#This Row],[Lab Q Model Units 1]]</f>
        <v>#N/A</v>
      </c>
      <c r="AC145" s="367" t="e">
        <f>RawMaterials[[#This Row],[Lab Price 2]]/RawMaterials[[#This Row],[Lab Q Model Units 2]]</f>
        <v>#N/A</v>
      </c>
      <c r="AD145" s="367" t="e">
        <f>RawMaterials[[#This Row],[Lab Price 3]]/RawMaterials[[#This Row],[Lab Q Model Units 3]]</f>
        <v>#N/A</v>
      </c>
      <c r="AE145" s="367" t="e">
        <f>RawMaterials[[#This Row],[Lab Price 4]]/RawMaterials[[#This Row],[Lab Q Model Units 4]]</f>
        <v>#N/A</v>
      </c>
      <c r="AF145" s="367" t="str">
        <f ca="1">IF(RawMaterials[[#This Row],[Lab Quote Count]]&gt;1,SLOPE(LOG(INDIRECT("RawMaterials[@[Lab Unit P 1]:[Lab Unit P "&amp;RawMaterials[[#This Row],[Lab Quote Count]]&amp;"]]")),LOG(INDIRECT("RawMaterials[@[Lab Q Model Units 1]:[Lab Q Model Units "&amp;RawMaterials[[#This Row],[Lab Quote Count]]&amp;"]]"))),"")</f>
        <v/>
      </c>
      <c r="AG145" s="367" t="str">
        <f ca="1">IF(RawMaterials[[#This Row],[Lab Quote Count]]&gt;1,INTERCEPT(LOG(INDIRECT("RawMaterials[@[Lab Unit P 1]:[Lab Unit P "&amp;RawMaterials[[#This Row],[Lab Quote Count]]&amp;"]]")),LOG(INDIRECT("RawMaterials[@[Lab Q Model Units 1]:[Lab Q Model Units "&amp;RawMaterials[[#This Row],[Lab Quote Count]]&amp;"]]"))),"")</f>
        <v/>
      </c>
      <c r="AH145" s="368" t="str">
        <f>IF(RawMaterials[[#This Row],[Material Type]]="Metal Precursor","D13",IF(RawMaterials[[#This Row],[Material Type]]="Ligand","D13","D12"))</f>
        <v>D12</v>
      </c>
      <c r="AI145" s="369" t="str">
        <f ca="1">IF(RawMaterials[[#This Row],[Lab Quote Count]]&gt;1,10^RawMaterials[[#This Row],[Lab Log-Log Intercept]]*INDIRECT(RawMaterials[[#This Row],[Basis Cell]])^RawMaterials[[#This Row],[Lab Log-Log Slope]],"&gt;&gt;&gt; Enter 2 or more lab quotes &lt;&lt;&lt;")</f>
        <v>&gt;&gt;&gt; Enter 2 or more lab quotes &lt;&lt;&lt;</v>
      </c>
      <c r="AJ1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1.77</v>
      </c>
      <c r="AL145" s="372">
        <f>IF(ISTEXT(RawMaterials[[#This Row],[Unit price in quote year]]),"Check calcs",RawMaterials[[#This Row],[Unit price in quote year]]/VLOOKUP(RawMaterials[[#This Row],[Quote Year]],ChemPPI[],14,FALSE)*VLOOKUP(BasisYear,ChemPPI[],14,FALSE))</f>
        <v>2.4022713414634151</v>
      </c>
      <c r="AM145" s="373" t="str">
        <f t="shared" si="2"/>
        <v>$/lb (2016)</v>
      </c>
    </row>
    <row r="146" spans="1:39">
      <c r="A146" s="263" t="s">
        <v>1251</v>
      </c>
      <c r="B146" s="264"/>
      <c r="C146" s="271"/>
      <c r="D146" s="365"/>
      <c r="E146" s="264">
        <v>100</v>
      </c>
      <c r="F146" s="264"/>
      <c r="G146" s="271"/>
      <c r="H146" s="271"/>
      <c r="I146" s="268"/>
      <c r="J146" s="271"/>
      <c r="K146" s="271"/>
      <c r="L146" s="271"/>
      <c r="M146" s="271"/>
      <c r="N146" s="271"/>
      <c r="O146" s="271"/>
      <c r="P146" s="265">
        <v>1.54</v>
      </c>
      <c r="Q146" s="264">
        <v>1</v>
      </c>
      <c r="R146" s="264" t="s">
        <v>20</v>
      </c>
      <c r="S146" s="264">
        <v>2006</v>
      </c>
      <c r="T146" s="266" t="s">
        <v>163</v>
      </c>
      <c r="U146" s="267">
        <v>42653</v>
      </c>
      <c r="V146" s="269"/>
      <c r="W146" s="366">
        <f>COUNT(RawMaterials[[#This Row],[Lab Quantity 1]:[Lab Quantity 4]])</f>
        <v>0</v>
      </c>
      <c r="X1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6" s="367" t="e">
        <f>RawMaterials[[#This Row],[Lab Price 1]]/RawMaterials[[#This Row],[Lab Q Model Units 1]]</f>
        <v>#N/A</v>
      </c>
      <c r="AC146" s="367" t="e">
        <f>RawMaterials[[#This Row],[Lab Price 2]]/RawMaterials[[#This Row],[Lab Q Model Units 2]]</f>
        <v>#N/A</v>
      </c>
      <c r="AD146" s="367" t="e">
        <f>RawMaterials[[#This Row],[Lab Price 3]]/RawMaterials[[#This Row],[Lab Q Model Units 3]]</f>
        <v>#N/A</v>
      </c>
      <c r="AE146" s="367" t="e">
        <f>RawMaterials[[#This Row],[Lab Price 4]]/RawMaterials[[#This Row],[Lab Q Model Units 4]]</f>
        <v>#N/A</v>
      </c>
      <c r="AF146" s="367" t="str">
        <f ca="1">IF(RawMaterials[[#This Row],[Lab Quote Count]]&gt;1,SLOPE(LOG(INDIRECT("RawMaterials[@[Lab Unit P 1]:[Lab Unit P "&amp;RawMaterials[[#This Row],[Lab Quote Count]]&amp;"]]")),LOG(INDIRECT("RawMaterials[@[Lab Q Model Units 1]:[Lab Q Model Units "&amp;RawMaterials[[#This Row],[Lab Quote Count]]&amp;"]]"))),"")</f>
        <v/>
      </c>
      <c r="AG146" s="367" t="str">
        <f ca="1">IF(RawMaterials[[#This Row],[Lab Quote Count]]&gt;1,INTERCEPT(LOG(INDIRECT("RawMaterials[@[Lab Unit P 1]:[Lab Unit P "&amp;RawMaterials[[#This Row],[Lab Quote Count]]&amp;"]]")),LOG(INDIRECT("RawMaterials[@[Lab Q Model Units 1]:[Lab Q Model Units "&amp;RawMaterials[[#This Row],[Lab Quote Count]]&amp;"]]"))),"")</f>
        <v/>
      </c>
      <c r="AH146" s="368" t="str">
        <f>IF(RawMaterials[[#This Row],[Material Type]]="Metal Precursor","D13",IF(RawMaterials[[#This Row],[Material Type]]="Ligand","D13","D12"))</f>
        <v>D12</v>
      </c>
      <c r="AI146" s="369" t="str">
        <f ca="1">IF(RawMaterials[[#This Row],[Lab Quote Count]]&gt;1,10^RawMaterials[[#This Row],[Lab Log-Log Intercept]]*INDIRECT(RawMaterials[[#This Row],[Basis Cell]])^RawMaterials[[#This Row],[Lab Log-Log Slope]],"&gt;&gt;&gt; Enter 2 or more lab quotes &lt;&lt;&lt;")</f>
        <v>&gt;&gt;&gt; Enter 2 or more lab quotes &lt;&lt;&lt;</v>
      </c>
      <c r="AJ1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1.54</v>
      </c>
      <c r="AL146" s="372">
        <f>IF(ISTEXT(RawMaterials[[#This Row],[Unit price in quote year]]),"Check calcs",RawMaterials[[#This Row],[Unit price in quote year]]/VLOOKUP(RawMaterials[[#This Row],[Quote Year]],ChemPPI[],14,FALSE)*VLOOKUP(BasisYear,ChemPPI[],14,FALSE))</f>
        <v>2.0901117886178864</v>
      </c>
      <c r="AM146" s="373" t="str">
        <f t="shared" si="2"/>
        <v>$/lb (2016)</v>
      </c>
    </row>
    <row r="147" spans="1:39">
      <c r="A147" s="263" t="s">
        <v>1252</v>
      </c>
      <c r="B147" s="264"/>
      <c r="C147" s="271"/>
      <c r="D147" s="365"/>
      <c r="E147" s="264">
        <v>100</v>
      </c>
      <c r="F147" s="264"/>
      <c r="G147" s="271"/>
      <c r="H147" s="271"/>
      <c r="I147" s="268"/>
      <c r="J147" s="271"/>
      <c r="K147" s="271"/>
      <c r="L147" s="271"/>
      <c r="M147" s="271"/>
      <c r="N147" s="271"/>
      <c r="O147" s="271"/>
      <c r="P147" s="265">
        <v>0.61499999999999999</v>
      </c>
      <c r="Q147" s="264">
        <v>1</v>
      </c>
      <c r="R147" s="264" t="s">
        <v>20</v>
      </c>
      <c r="S147" s="264">
        <v>2006</v>
      </c>
      <c r="T147" s="266" t="s">
        <v>163</v>
      </c>
      <c r="U147" s="267">
        <v>42653</v>
      </c>
      <c r="V147" s="269"/>
      <c r="W147" s="366">
        <f>COUNT(RawMaterials[[#This Row],[Lab Quantity 1]:[Lab Quantity 4]])</f>
        <v>0</v>
      </c>
      <c r="X1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7" s="367" t="e">
        <f>RawMaterials[[#This Row],[Lab Price 1]]/RawMaterials[[#This Row],[Lab Q Model Units 1]]</f>
        <v>#N/A</v>
      </c>
      <c r="AC147" s="367" t="e">
        <f>RawMaterials[[#This Row],[Lab Price 2]]/RawMaterials[[#This Row],[Lab Q Model Units 2]]</f>
        <v>#N/A</v>
      </c>
      <c r="AD147" s="367" t="e">
        <f>RawMaterials[[#This Row],[Lab Price 3]]/RawMaterials[[#This Row],[Lab Q Model Units 3]]</f>
        <v>#N/A</v>
      </c>
      <c r="AE147" s="367" t="e">
        <f>RawMaterials[[#This Row],[Lab Price 4]]/RawMaterials[[#This Row],[Lab Q Model Units 4]]</f>
        <v>#N/A</v>
      </c>
      <c r="AF147" s="367" t="str">
        <f ca="1">IF(RawMaterials[[#This Row],[Lab Quote Count]]&gt;1,SLOPE(LOG(INDIRECT("RawMaterials[@[Lab Unit P 1]:[Lab Unit P "&amp;RawMaterials[[#This Row],[Lab Quote Count]]&amp;"]]")),LOG(INDIRECT("RawMaterials[@[Lab Q Model Units 1]:[Lab Q Model Units "&amp;RawMaterials[[#This Row],[Lab Quote Count]]&amp;"]]"))),"")</f>
        <v/>
      </c>
      <c r="AG147" s="367" t="str">
        <f ca="1">IF(RawMaterials[[#This Row],[Lab Quote Count]]&gt;1,INTERCEPT(LOG(INDIRECT("RawMaterials[@[Lab Unit P 1]:[Lab Unit P "&amp;RawMaterials[[#This Row],[Lab Quote Count]]&amp;"]]")),LOG(INDIRECT("RawMaterials[@[Lab Q Model Units 1]:[Lab Q Model Units "&amp;RawMaterials[[#This Row],[Lab Quote Count]]&amp;"]]"))),"")</f>
        <v/>
      </c>
      <c r="AH147" s="368" t="str">
        <f>IF(RawMaterials[[#This Row],[Material Type]]="Metal Precursor","D13",IF(RawMaterials[[#This Row],[Material Type]]="Ligand","D13","D12"))</f>
        <v>D12</v>
      </c>
      <c r="AI147" s="369" t="str">
        <f ca="1">IF(RawMaterials[[#This Row],[Lab Quote Count]]&gt;1,10^RawMaterials[[#This Row],[Lab Log-Log Intercept]]*INDIRECT(RawMaterials[[#This Row],[Basis Cell]])^RawMaterials[[#This Row],[Lab Log-Log Slope]],"&gt;&gt;&gt; Enter 2 or more lab quotes &lt;&lt;&lt;")</f>
        <v>&gt;&gt;&gt; Enter 2 or more lab quotes &lt;&lt;&lt;</v>
      </c>
      <c r="AJ1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0.61499999999999999</v>
      </c>
      <c r="AL147" s="372">
        <f>IF(ISTEXT(RawMaterials[[#This Row],[Unit price in quote year]]),"Check calcs",RawMaterials[[#This Row],[Unit price in quote year]]/VLOOKUP(RawMaterials[[#This Row],[Quote Year]],ChemPPI[],14,FALSE)*VLOOKUP(BasisYear,ChemPPI[],14,FALSE))</f>
        <v>0.83468750000000014</v>
      </c>
      <c r="AM147" s="373" t="str">
        <f t="shared" si="2"/>
        <v>$/lb (2016)</v>
      </c>
    </row>
    <row r="148" spans="1:39">
      <c r="A148" s="263" t="s">
        <v>1253</v>
      </c>
      <c r="B148" s="264"/>
      <c r="C148" s="271"/>
      <c r="D148" s="365">
        <v>0.77900000000000003</v>
      </c>
      <c r="E148" s="264">
        <v>100</v>
      </c>
      <c r="F148" s="264"/>
      <c r="G148" s="271"/>
      <c r="H148" s="271"/>
      <c r="I148" s="268"/>
      <c r="J148" s="271"/>
      <c r="K148" s="271"/>
      <c r="L148" s="271"/>
      <c r="M148" s="271"/>
      <c r="N148" s="271"/>
      <c r="O148" s="271"/>
      <c r="P148" s="265">
        <v>2.2250000000000001</v>
      </c>
      <c r="Q148" s="264">
        <v>1</v>
      </c>
      <c r="R148" s="264" t="s">
        <v>85</v>
      </c>
      <c r="S148" s="264">
        <v>2006</v>
      </c>
      <c r="T148" s="266" t="s">
        <v>163</v>
      </c>
      <c r="U148" s="267">
        <v>42653</v>
      </c>
      <c r="V148" s="269"/>
      <c r="W148" s="366">
        <f>COUNT(RawMaterials[[#This Row],[Lab Quantity 1]:[Lab Quantity 4]])</f>
        <v>0</v>
      </c>
      <c r="X1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8" s="367" t="e">
        <f>RawMaterials[[#This Row],[Lab Price 1]]/RawMaterials[[#This Row],[Lab Q Model Units 1]]</f>
        <v>#N/A</v>
      </c>
      <c r="AC148" s="367" t="e">
        <f>RawMaterials[[#This Row],[Lab Price 2]]/RawMaterials[[#This Row],[Lab Q Model Units 2]]</f>
        <v>#N/A</v>
      </c>
      <c r="AD148" s="367" t="e">
        <f>RawMaterials[[#This Row],[Lab Price 3]]/RawMaterials[[#This Row],[Lab Q Model Units 3]]</f>
        <v>#N/A</v>
      </c>
      <c r="AE148" s="367" t="e">
        <f>RawMaterials[[#This Row],[Lab Price 4]]/RawMaterials[[#This Row],[Lab Q Model Units 4]]</f>
        <v>#N/A</v>
      </c>
      <c r="AF148" s="367" t="str">
        <f ca="1">IF(RawMaterials[[#This Row],[Lab Quote Count]]&gt;1,SLOPE(LOG(INDIRECT("RawMaterials[@[Lab Unit P 1]:[Lab Unit P "&amp;RawMaterials[[#This Row],[Lab Quote Count]]&amp;"]]")),LOG(INDIRECT("RawMaterials[@[Lab Q Model Units 1]:[Lab Q Model Units "&amp;RawMaterials[[#This Row],[Lab Quote Count]]&amp;"]]"))),"")</f>
        <v/>
      </c>
      <c r="AG148" s="367" t="str">
        <f ca="1">IF(RawMaterials[[#This Row],[Lab Quote Count]]&gt;1,INTERCEPT(LOG(INDIRECT("RawMaterials[@[Lab Unit P 1]:[Lab Unit P "&amp;RawMaterials[[#This Row],[Lab Quote Count]]&amp;"]]")),LOG(INDIRECT("RawMaterials[@[Lab Q Model Units 1]:[Lab Q Model Units "&amp;RawMaterials[[#This Row],[Lab Quote Count]]&amp;"]]"))),"")</f>
        <v/>
      </c>
      <c r="AH148" s="368" t="str">
        <f>IF(RawMaterials[[#This Row],[Material Type]]="Metal Precursor","D13",IF(RawMaterials[[#This Row],[Material Type]]="Ligand","D13","D12"))</f>
        <v>D12</v>
      </c>
      <c r="AI148" s="369" t="str">
        <f ca="1">IF(RawMaterials[[#This Row],[Lab Quote Count]]&gt;1,10^RawMaterials[[#This Row],[Lab Log-Log Intercept]]*INDIRECT(RawMaterials[[#This Row],[Basis Cell]])^RawMaterials[[#This Row],[Lab Log-Log Slope]],"&gt;&gt;&gt; Enter 2 or more lab quotes &lt;&lt;&lt;")</f>
        <v>&gt;&gt;&gt; Enter 2 or more lab quotes &lt;&lt;&lt;</v>
      </c>
      <c r="AJ1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6.5010700681230595</v>
      </c>
      <c r="AK1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0.34225134888330555</v>
      </c>
      <c r="AL148" s="372">
        <f>IF(ISTEXT(RawMaterials[[#This Row],[Unit price in quote year]]),"Check calcs",RawMaterials[[#This Row],[Unit price in quote year]]/VLOOKUP(RawMaterials[[#This Row],[Quote Year]],ChemPPI[],14,FALSE)*VLOOKUP(BasisYear,ChemPPI[],14,FALSE))</f>
        <v>0.46450881751387663</v>
      </c>
      <c r="AM148" s="373" t="str">
        <f t="shared" si="2"/>
        <v>$/lb (2016)</v>
      </c>
    </row>
    <row r="149" spans="1:39">
      <c r="A149" s="263" t="s">
        <v>1254</v>
      </c>
      <c r="B149" s="264"/>
      <c r="C149" s="271"/>
      <c r="D149" s="365"/>
      <c r="E149" s="264">
        <v>100</v>
      </c>
      <c r="F149" s="264"/>
      <c r="G149" s="271"/>
      <c r="H149" s="271"/>
      <c r="I149" s="268"/>
      <c r="J149" s="271"/>
      <c r="K149" s="271"/>
      <c r="L149" s="271"/>
      <c r="M149" s="271"/>
      <c r="N149" s="271"/>
      <c r="O149" s="271"/>
      <c r="P149" s="265">
        <v>0.28499999999999998</v>
      </c>
      <c r="Q149" s="264">
        <v>1</v>
      </c>
      <c r="R149" s="264" t="s">
        <v>20</v>
      </c>
      <c r="S149" s="264">
        <v>2006</v>
      </c>
      <c r="T149" s="266" t="s">
        <v>163</v>
      </c>
      <c r="U149" s="267">
        <v>42653</v>
      </c>
      <c r="V149" s="269"/>
      <c r="W149" s="366">
        <f>COUNT(RawMaterials[[#This Row],[Lab Quantity 1]:[Lab Quantity 4]])</f>
        <v>0</v>
      </c>
      <c r="X1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49" s="367" t="e">
        <f>RawMaterials[[#This Row],[Lab Price 1]]/RawMaterials[[#This Row],[Lab Q Model Units 1]]</f>
        <v>#N/A</v>
      </c>
      <c r="AC149" s="367" t="e">
        <f>RawMaterials[[#This Row],[Lab Price 2]]/RawMaterials[[#This Row],[Lab Q Model Units 2]]</f>
        <v>#N/A</v>
      </c>
      <c r="AD149" s="367" t="e">
        <f>RawMaterials[[#This Row],[Lab Price 3]]/RawMaterials[[#This Row],[Lab Q Model Units 3]]</f>
        <v>#N/A</v>
      </c>
      <c r="AE149" s="367" t="e">
        <f>RawMaterials[[#This Row],[Lab Price 4]]/RawMaterials[[#This Row],[Lab Q Model Units 4]]</f>
        <v>#N/A</v>
      </c>
      <c r="AF149" s="367" t="str">
        <f ca="1">IF(RawMaterials[[#This Row],[Lab Quote Count]]&gt;1,SLOPE(LOG(INDIRECT("RawMaterials[@[Lab Unit P 1]:[Lab Unit P "&amp;RawMaterials[[#This Row],[Lab Quote Count]]&amp;"]]")),LOG(INDIRECT("RawMaterials[@[Lab Q Model Units 1]:[Lab Q Model Units "&amp;RawMaterials[[#This Row],[Lab Quote Count]]&amp;"]]"))),"")</f>
        <v/>
      </c>
      <c r="AG149" s="367" t="str">
        <f ca="1">IF(RawMaterials[[#This Row],[Lab Quote Count]]&gt;1,INTERCEPT(LOG(INDIRECT("RawMaterials[@[Lab Unit P 1]:[Lab Unit P "&amp;RawMaterials[[#This Row],[Lab Quote Count]]&amp;"]]")),LOG(INDIRECT("RawMaterials[@[Lab Q Model Units 1]:[Lab Q Model Units "&amp;RawMaterials[[#This Row],[Lab Quote Count]]&amp;"]]"))),"")</f>
        <v/>
      </c>
      <c r="AH149" s="368" t="str">
        <f>IF(RawMaterials[[#This Row],[Material Type]]="Metal Precursor","D13",IF(RawMaterials[[#This Row],[Material Type]]="Ligand","D13","D12"))</f>
        <v>D12</v>
      </c>
      <c r="AI149" s="369" t="str">
        <f ca="1">IF(RawMaterials[[#This Row],[Lab Quote Count]]&gt;1,10^RawMaterials[[#This Row],[Lab Log-Log Intercept]]*INDIRECT(RawMaterials[[#This Row],[Basis Cell]])^RawMaterials[[#This Row],[Lab Log-Log Slope]],"&gt;&gt;&gt; Enter 2 or more lab quotes &lt;&lt;&lt;")</f>
        <v>&gt;&gt;&gt; Enter 2 or more lab quotes &lt;&lt;&lt;</v>
      </c>
      <c r="AJ1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0.28499999999999998</v>
      </c>
      <c r="AL149" s="372">
        <f>IF(ISTEXT(RawMaterials[[#This Row],[Unit price in quote year]]),"Check calcs",RawMaterials[[#This Row],[Unit price in quote year]]/VLOOKUP(RawMaterials[[#This Row],[Quote Year]],ChemPPI[],14,FALSE)*VLOOKUP(BasisYear,ChemPPI[],14,FALSE))</f>
        <v>0.38680640243902442</v>
      </c>
      <c r="AM149" s="373" t="str">
        <f t="shared" si="2"/>
        <v>$/lb (2016)</v>
      </c>
    </row>
    <row r="150" spans="1:39">
      <c r="A150" s="263" t="s">
        <v>1255</v>
      </c>
      <c r="B150" s="264"/>
      <c r="C150" s="271"/>
      <c r="D150" s="365"/>
      <c r="E150" s="264">
        <v>100</v>
      </c>
      <c r="F150" s="264"/>
      <c r="G150" s="271"/>
      <c r="H150" s="271"/>
      <c r="I150" s="268"/>
      <c r="J150" s="271"/>
      <c r="K150" s="271"/>
      <c r="L150" s="271"/>
      <c r="M150" s="271"/>
      <c r="N150" s="271"/>
      <c r="O150" s="271"/>
      <c r="P150" s="265">
        <v>0.55000000000000004</v>
      </c>
      <c r="Q150" s="264">
        <v>1</v>
      </c>
      <c r="R150" s="264" t="s">
        <v>20</v>
      </c>
      <c r="S150" s="264">
        <v>2006</v>
      </c>
      <c r="T150" s="266" t="s">
        <v>163</v>
      </c>
      <c r="U150" s="267">
        <v>42653</v>
      </c>
      <c r="V150" s="269"/>
      <c r="W150" s="366">
        <f>COUNT(RawMaterials[[#This Row],[Lab Quantity 1]:[Lab Quantity 4]])</f>
        <v>0</v>
      </c>
      <c r="X1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0" s="367" t="e">
        <f>RawMaterials[[#This Row],[Lab Price 1]]/RawMaterials[[#This Row],[Lab Q Model Units 1]]</f>
        <v>#N/A</v>
      </c>
      <c r="AC150" s="367" t="e">
        <f>RawMaterials[[#This Row],[Lab Price 2]]/RawMaterials[[#This Row],[Lab Q Model Units 2]]</f>
        <v>#N/A</v>
      </c>
      <c r="AD150" s="367" t="e">
        <f>RawMaterials[[#This Row],[Lab Price 3]]/RawMaterials[[#This Row],[Lab Q Model Units 3]]</f>
        <v>#N/A</v>
      </c>
      <c r="AE150" s="367" t="e">
        <f>RawMaterials[[#This Row],[Lab Price 4]]/RawMaterials[[#This Row],[Lab Q Model Units 4]]</f>
        <v>#N/A</v>
      </c>
      <c r="AF150" s="367" t="str">
        <f ca="1">IF(RawMaterials[[#This Row],[Lab Quote Count]]&gt;1,SLOPE(LOG(INDIRECT("RawMaterials[@[Lab Unit P 1]:[Lab Unit P "&amp;RawMaterials[[#This Row],[Lab Quote Count]]&amp;"]]")),LOG(INDIRECT("RawMaterials[@[Lab Q Model Units 1]:[Lab Q Model Units "&amp;RawMaterials[[#This Row],[Lab Quote Count]]&amp;"]]"))),"")</f>
        <v/>
      </c>
      <c r="AG150" s="367" t="str">
        <f ca="1">IF(RawMaterials[[#This Row],[Lab Quote Count]]&gt;1,INTERCEPT(LOG(INDIRECT("RawMaterials[@[Lab Unit P 1]:[Lab Unit P "&amp;RawMaterials[[#This Row],[Lab Quote Count]]&amp;"]]")),LOG(INDIRECT("RawMaterials[@[Lab Q Model Units 1]:[Lab Q Model Units "&amp;RawMaterials[[#This Row],[Lab Quote Count]]&amp;"]]"))),"")</f>
        <v/>
      </c>
      <c r="AH150" s="368" t="str">
        <f>IF(RawMaterials[[#This Row],[Material Type]]="Metal Precursor","D13",IF(RawMaterials[[#This Row],[Material Type]]="Ligand","D13","D12"))</f>
        <v>D12</v>
      </c>
      <c r="AI150" s="369" t="str">
        <f ca="1">IF(RawMaterials[[#This Row],[Lab Quote Count]]&gt;1,10^RawMaterials[[#This Row],[Lab Log-Log Intercept]]*INDIRECT(RawMaterials[[#This Row],[Basis Cell]])^RawMaterials[[#This Row],[Lab Log-Log Slope]],"&gt;&gt;&gt; Enter 2 or more lab quotes &lt;&lt;&lt;")</f>
        <v>&gt;&gt;&gt; Enter 2 or more lab quotes &lt;&lt;&lt;</v>
      </c>
      <c r="AJ1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150" s="372">
        <f>IF(ISTEXT(RawMaterials[[#This Row],[Unit price in quote year]]),"Check calcs",RawMaterials[[#This Row],[Unit price in quote year]]/VLOOKUP(RawMaterials[[#This Row],[Quote Year]],ChemPPI[],14,FALSE)*VLOOKUP(BasisYear,ChemPPI[],14,FALSE))</f>
        <v>0.74646849593495956</v>
      </c>
      <c r="AM150" s="373" t="str">
        <f t="shared" si="2"/>
        <v>$/lb (2016)</v>
      </c>
    </row>
    <row r="151" spans="1:39">
      <c r="A151" s="263" t="s">
        <v>1256</v>
      </c>
      <c r="B151" s="264"/>
      <c r="C151" s="271"/>
      <c r="D151" s="365"/>
      <c r="E151" s="264">
        <v>100</v>
      </c>
      <c r="F151" s="264"/>
      <c r="G151" s="271"/>
      <c r="H151" s="271"/>
      <c r="I151" s="268"/>
      <c r="J151" s="271"/>
      <c r="K151" s="271"/>
      <c r="L151" s="271"/>
      <c r="M151" s="271"/>
      <c r="N151" s="271"/>
      <c r="O151" s="271"/>
      <c r="P151" s="265">
        <v>0.91</v>
      </c>
      <c r="Q151" s="264">
        <v>1</v>
      </c>
      <c r="R151" s="264" t="s">
        <v>20</v>
      </c>
      <c r="S151" s="264">
        <v>2006</v>
      </c>
      <c r="T151" s="266" t="s">
        <v>163</v>
      </c>
      <c r="U151" s="267">
        <v>42653</v>
      </c>
      <c r="V151" s="269"/>
      <c r="W151" s="366">
        <f>COUNT(RawMaterials[[#This Row],[Lab Quantity 1]:[Lab Quantity 4]])</f>
        <v>0</v>
      </c>
      <c r="X1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1" s="367" t="e">
        <f>RawMaterials[[#This Row],[Lab Price 1]]/RawMaterials[[#This Row],[Lab Q Model Units 1]]</f>
        <v>#N/A</v>
      </c>
      <c r="AC151" s="367" t="e">
        <f>RawMaterials[[#This Row],[Lab Price 2]]/RawMaterials[[#This Row],[Lab Q Model Units 2]]</f>
        <v>#N/A</v>
      </c>
      <c r="AD151" s="367" t="e">
        <f>RawMaterials[[#This Row],[Lab Price 3]]/RawMaterials[[#This Row],[Lab Q Model Units 3]]</f>
        <v>#N/A</v>
      </c>
      <c r="AE151" s="367" t="e">
        <f>RawMaterials[[#This Row],[Lab Price 4]]/RawMaterials[[#This Row],[Lab Q Model Units 4]]</f>
        <v>#N/A</v>
      </c>
      <c r="AF151" s="367" t="str">
        <f ca="1">IF(RawMaterials[[#This Row],[Lab Quote Count]]&gt;1,SLOPE(LOG(INDIRECT("RawMaterials[@[Lab Unit P 1]:[Lab Unit P "&amp;RawMaterials[[#This Row],[Lab Quote Count]]&amp;"]]")),LOG(INDIRECT("RawMaterials[@[Lab Q Model Units 1]:[Lab Q Model Units "&amp;RawMaterials[[#This Row],[Lab Quote Count]]&amp;"]]"))),"")</f>
        <v/>
      </c>
      <c r="AG151" s="367" t="str">
        <f ca="1">IF(RawMaterials[[#This Row],[Lab Quote Count]]&gt;1,INTERCEPT(LOG(INDIRECT("RawMaterials[@[Lab Unit P 1]:[Lab Unit P "&amp;RawMaterials[[#This Row],[Lab Quote Count]]&amp;"]]")),LOG(INDIRECT("RawMaterials[@[Lab Q Model Units 1]:[Lab Q Model Units "&amp;RawMaterials[[#This Row],[Lab Quote Count]]&amp;"]]"))),"")</f>
        <v/>
      </c>
      <c r="AH151" s="368" t="str">
        <f>IF(RawMaterials[[#This Row],[Material Type]]="Metal Precursor","D13",IF(RawMaterials[[#This Row],[Material Type]]="Ligand","D13","D12"))</f>
        <v>D12</v>
      </c>
      <c r="AI151" s="369" t="str">
        <f ca="1">IF(RawMaterials[[#This Row],[Lab Quote Count]]&gt;1,10^RawMaterials[[#This Row],[Lab Log-Log Intercept]]*INDIRECT(RawMaterials[[#This Row],[Basis Cell]])^RawMaterials[[#This Row],[Lab Log-Log Slope]],"&gt;&gt;&gt; Enter 2 or more lab quotes &lt;&lt;&lt;")</f>
        <v>&gt;&gt;&gt; Enter 2 or more lab quotes &lt;&lt;&lt;</v>
      </c>
      <c r="AJ1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151" s="372">
        <f>IF(ISTEXT(RawMaterials[[#This Row],[Unit price in quote year]]),"Check calcs",RawMaterials[[#This Row],[Unit price in quote year]]/VLOOKUP(RawMaterials[[#This Row],[Quote Year]],ChemPPI[],14,FALSE)*VLOOKUP(BasisYear,ChemPPI[],14,FALSE))</f>
        <v>1.2350660569105694</v>
      </c>
      <c r="AM151" s="373" t="str">
        <f t="shared" si="2"/>
        <v>$/lb (2016)</v>
      </c>
    </row>
    <row r="152" spans="1:39">
      <c r="A152" s="263" t="s">
        <v>1257</v>
      </c>
      <c r="B152" s="264"/>
      <c r="C152" s="271"/>
      <c r="D152" s="365"/>
      <c r="E152" s="264">
        <v>100</v>
      </c>
      <c r="F152" s="264"/>
      <c r="G152" s="271"/>
      <c r="H152" s="271"/>
      <c r="I152" s="268"/>
      <c r="J152" s="271"/>
      <c r="K152" s="271"/>
      <c r="L152" s="271"/>
      <c r="M152" s="271"/>
      <c r="N152" s="271"/>
      <c r="O152" s="271"/>
      <c r="P152" s="265">
        <v>0.39</v>
      </c>
      <c r="Q152" s="264">
        <v>1</v>
      </c>
      <c r="R152" s="264" t="s">
        <v>20</v>
      </c>
      <c r="S152" s="264">
        <v>2006</v>
      </c>
      <c r="T152" s="266" t="s">
        <v>163</v>
      </c>
      <c r="U152" s="267">
        <v>42653</v>
      </c>
      <c r="V152" s="269"/>
      <c r="W152" s="366">
        <f>COUNT(RawMaterials[[#This Row],[Lab Quantity 1]:[Lab Quantity 4]])</f>
        <v>0</v>
      </c>
      <c r="X1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2" s="367" t="e">
        <f>RawMaterials[[#This Row],[Lab Price 1]]/RawMaterials[[#This Row],[Lab Q Model Units 1]]</f>
        <v>#N/A</v>
      </c>
      <c r="AC152" s="367" t="e">
        <f>RawMaterials[[#This Row],[Lab Price 2]]/RawMaterials[[#This Row],[Lab Q Model Units 2]]</f>
        <v>#N/A</v>
      </c>
      <c r="AD152" s="367" t="e">
        <f>RawMaterials[[#This Row],[Lab Price 3]]/RawMaterials[[#This Row],[Lab Q Model Units 3]]</f>
        <v>#N/A</v>
      </c>
      <c r="AE152" s="367" t="e">
        <f>RawMaterials[[#This Row],[Lab Price 4]]/RawMaterials[[#This Row],[Lab Q Model Units 4]]</f>
        <v>#N/A</v>
      </c>
      <c r="AF152" s="367" t="str">
        <f ca="1">IF(RawMaterials[[#This Row],[Lab Quote Count]]&gt;1,SLOPE(LOG(INDIRECT("RawMaterials[@[Lab Unit P 1]:[Lab Unit P "&amp;RawMaterials[[#This Row],[Lab Quote Count]]&amp;"]]")),LOG(INDIRECT("RawMaterials[@[Lab Q Model Units 1]:[Lab Q Model Units "&amp;RawMaterials[[#This Row],[Lab Quote Count]]&amp;"]]"))),"")</f>
        <v/>
      </c>
      <c r="AG152" s="367" t="str">
        <f ca="1">IF(RawMaterials[[#This Row],[Lab Quote Count]]&gt;1,INTERCEPT(LOG(INDIRECT("RawMaterials[@[Lab Unit P 1]:[Lab Unit P "&amp;RawMaterials[[#This Row],[Lab Quote Count]]&amp;"]]")),LOG(INDIRECT("RawMaterials[@[Lab Q Model Units 1]:[Lab Q Model Units "&amp;RawMaterials[[#This Row],[Lab Quote Count]]&amp;"]]"))),"")</f>
        <v/>
      </c>
      <c r="AH152" s="368" t="str">
        <f>IF(RawMaterials[[#This Row],[Material Type]]="Metal Precursor","D13",IF(RawMaterials[[#This Row],[Material Type]]="Ligand","D13","D12"))</f>
        <v>D12</v>
      </c>
      <c r="AI152" s="369" t="str">
        <f ca="1">IF(RawMaterials[[#This Row],[Lab Quote Count]]&gt;1,10^RawMaterials[[#This Row],[Lab Log-Log Intercept]]*INDIRECT(RawMaterials[[#This Row],[Basis Cell]])^RawMaterials[[#This Row],[Lab Log-Log Slope]],"&gt;&gt;&gt; Enter 2 or more lab quotes &lt;&lt;&lt;")</f>
        <v>&gt;&gt;&gt; Enter 2 or more lab quotes &lt;&lt;&lt;</v>
      </c>
      <c r="AJ1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152" s="372">
        <f>IF(ISTEXT(RawMaterials[[#This Row],[Unit price in quote year]]),"Check calcs",RawMaterials[[#This Row],[Unit price in quote year]]/VLOOKUP(RawMaterials[[#This Row],[Quote Year]],ChemPPI[],14,FALSE)*VLOOKUP(BasisYear,ChemPPI[],14,FALSE))</f>
        <v>0.529314024390244</v>
      </c>
      <c r="AM152" s="373" t="str">
        <f t="shared" si="2"/>
        <v>$/lb (2016)</v>
      </c>
    </row>
    <row r="153" spans="1:39">
      <c r="A153" s="263" t="s">
        <v>1258</v>
      </c>
      <c r="B153" s="264"/>
      <c r="C153" s="271"/>
      <c r="D153" s="365"/>
      <c r="E153" s="264">
        <v>100</v>
      </c>
      <c r="F153" s="264"/>
      <c r="G153" s="271"/>
      <c r="H153" s="271"/>
      <c r="I153" s="268"/>
      <c r="J153" s="271"/>
      <c r="K153" s="271"/>
      <c r="L153" s="271"/>
      <c r="M153" s="271"/>
      <c r="N153" s="271"/>
      <c r="O153" s="271"/>
      <c r="P153" s="265">
        <v>0.70499999999999996</v>
      </c>
      <c r="Q153" s="264">
        <v>1</v>
      </c>
      <c r="R153" s="264" t="s">
        <v>20</v>
      </c>
      <c r="S153" s="264">
        <v>2006</v>
      </c>
      <c r="T153" s="266" t="s">
        <v>163</v>
      </c>
      <c r="U153" s="267">
        <v>42653</v>
      </c>
      <c r="V153" s="269"/>
      <c r="W153" s="366">
        <f>COUNT(RawMaterials[[#This Row],[Lab Quantity 1]:[Lab Quantity 4]])</f>
        <v>0</v>
      </c>
      <c r="X1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3" s="367" t="e">
        <f>RawMaterials[[#This Row],[Lab Price 1]]/RawMaterials[[#This Row],[Lab Q Model Units 1]]</f>
        <v>#N/A</v>
      </c>
      <c r="AC153" s="367" t="e">
        <f>RawMaterials[[#This Row],[Lab Price 2]]/RawMaterials[[#This Row],[Lab Q Model Units 2]]</f>
        <v>#N/A</v>
      </c>
      <c r="AD153" s="367" t="e">
        <f>RawMaterials[[#This Row],[Lab Price 3]]/RawMaterials[[#This Row],[Lab Q Model Units 3]]</f>
        <v>#N/A</v>
      </c>
      <c r="AE153" s="367" t="e">
        <f>RawMaterials[[#This Row],[Lab Price 4]]/RawMaterials[[#This Row],[Lab Q Model Units 4]]</f>
        <v>#N/A</v>
      </c>
      <c r="AF153" s="367" t="str">
        <f ca="1">IF(RawMaterials[[#This Row],[Lab Quote Count]]&gt;1,SLOPE(LOG(INDIRECT("RawMaterials[@[Lab Unit P 1]:[Lab Unit P "&amp;RawMaterials[[#This Row],[Lab Quote Count]]&amp;"]]")),LOG(INDIRECT("RawMaterials[@[Lab Q Model Units 1]:[Lab Q Model Units "&amp;RawMaterials[[#This Row],[Lab Quote Count]]&amp;"]]"))),"")</f>
        <v/>
      </c>
      <c r="AG153" s="367" t="str">
        <f ca="1">IF(RawMaterials[[#This Row],[Lab Quote Count]]&gt;1,INTERCEPT(LOG(INDIRECT("RawMaterials[@[Lab Unit P 1]:[Lab Unit P "&amp;RawMaterials[[#This Row],[Lab Quote Count]]&amp;"]]")),LOG(INDIRECT("RawMaterials[@[Lab Q Model Units 1]:[Lab Q Model Units "&amp;RawMaterials[[#This Row],[Lab Quote Count]]&amp;"]]"))),"")</f>
        <v/>
      </c>
      <c r="AH153" s="368" t="str">
        <f>IF(RawMaterials[[#This Row],[Material Type]]="Metal Precursor","D13",IF(RawMaterials[[#This Row],[Material Type]]="Ligand","D13","D12"))</f>
        <v>D12</v>
      </c>
      <c r="AI153" s="369" t="str">
        <f ca="1">IF(RawMaterials[[#This Row],[Lab Quote Count]]&gt;1,10^RawMaterials[[#This Row],[Lab Log-Log Intercept]]*INDIRECT(RawMaterials[[#This Row],[Basis Cell]])^RawMaterials[[#This Row],[Lab Log-Log Slope]],"&gt;&gt;&gt; Enter 2 or more lab quotes &lt;&lt;&lt;")</f>
        <v>&gt;&gt;&gt; Enter 2 or more lab quotes &lt;&lt;&lt;</v>
      </c>
      <c r="AJ1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153" s="372">
        <f>IF(ISTEXT(RawMaterials[[#This Row],[Unit price in quote year]]),"Check calcs",RawMaterials[[#This Row],[Unit price in quote year]]/VLOOKUP(RawMaterials[[#This Row],[Quote Year]],ChemPPI[],14,FALSE)*VLOOKUP(BasisYear,ChemPPI[],14,FALSE))</f>
        <v>0.9568368902439025</v>
      </c>
      <c r="AM153" s="373" t="str">
        <f t="shared" si="2"/>
        <v>$/lb (2016)</v>
      </c>
    </row>
    <row r="154" spans="1:39">
      <c r="A154" s="263" t="s">
        <v>1259</v>
      </c>
      <c r="B154" s="264"/>
      <c r="C154" s="271"/>
      <c r="D154" s="365"/>
      <c r="E154" s="264">
        <v>100</v>
      </c>
      <c r="F154" s="264"/>
      <c r="G154" s="271"/>
      <c r="H154" s="271"/>
      <c r="I154" s="268"/>
      <c r="J154" s="271"/>
      <c r="K154" s="271"/>
      <c r="L154" s="271"/>
      <c r="M154" s="271"/>
      <c r="N154" s="271"/>
      <c r="O154" s="271"/>
      <c r="P154" s="265">
        <v>9.8000000000000007</v>
      </c>
      <c r="Q154" s="264">
        <v>1</v>
      </c>
      <c r="R154" s="264" t="s">
        <v>71</v>
      </c>
      <c r="S154" s="264">
        <v>2006</v>
      </c>
      <c r="T154" s="266" t="s">
        <v>163</v>
      </c>
      <c r="U154" s="267">
        <v>42653</v>
      </c>
      <c r="V154" s="269"/>
      <c r="W154" s="366">
        <f>COUNT(RawMaterials[[#This Row],[Lab Quantity 1]:[Lab Quantity 4]])</f>
        <v>0</v>
      </c>
      <c r="X1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4" s="367" t="e">
        <f>RawMaterials[[#This Row],[Lab Price 1]]/RawMaterials[[#This Row],[Lab Q Model Units 1]]</f>
        <v>#N/A</v>
      </c>
      <c r="AC154" s="367" t="e">
        <f>RawMaterials[[#This Row],[Lab Price 2]]/RawMaterials[[#This Row],[Lab Q Model Units 2]]</f>
        <v>#N/A</v>
      </c>
      <c r="AD154" s="367" t="e">
        <f>RawMaterials[[#This Row],[Lab Price 3]]/RawMaterials[[#This Row],[Lab Q Model Units 3]]</f>
        <v>#N/A</v>
      </c>
      <c r="AE154" s="367" t="e">
        <f>RawMaterials[[#This Row],[Lab Price 4]]/RawMaterials[[#This Row],[Lab Q Model Units 4]]</f>
        <v>#N/A</v>
      </c>
      <c r="AF154" s="367" t="str">
        <f ca="1">IF(RawMaterials[[#This Row],[Lab Quote Count]]&gt;1,SLOPE(LOG(INDIRECT("RawMaterials[@[Lab Unit P 1]:[Lab Unit P "&amp;RawMaterials[[#This Row],[Lab Quote Count]]&amp;"]]")),LOG(INDIRECT("RawMaterials[@[Lab Q Model Units 1]:[Lab Q Model Units "&amp;RawMaterials[[#This Row],[Lab Quote Count]]&amp;"]]"))),"")</f>
        <v/>
      </c>
      <c r="AG154" s="367" t="str">
        <f ca="1">IF(RawMaterials[[#This Row],[Lab Quote Count]]&gt;1,INTERCEPT(LOG(INDIRECT("RawMaterials[@[Lab Unit P 1]:[Lab Unit P "&amp;RawMaterials[[#This Row],[Lab Quote Count]]&amp;"]]")),LOG(INDIRECT("RawMaterials[@[Lab Q Model Units 1]:[Lab Q Model Units "&amp;RawMaterials[[#This Row],[Lab Quote Count]]&amp;"]]"))),"")</f>
        <v/>
      </c>
      <c r="AH154" s="368" t="str">
        <f>IF(RawMaterials[[#This Row],[Material Type]]="Metal Precursor","D13",IF(RawMaterials[[#This Row],[Material Type]]="Ligand","D13","D12"))</f>
        <v>D12</v>
      </c>
      <c r="AI154" s="369" t="str">
        <f ca="1">IF(RawMaterials[[#This Row],[Lab Quote Count]]&gt;1,10^RawMaterials[[#This Row],[Lab Log-Log Intercept]]*INDIRECT(RawMaterials[[#This Row],[Basis Cell]])^RawMaterials[[#This Row],[Lab Log-Log Slope]],"&gt;&gt;&gt; Enter 2 or more lab quotes &lt;&lt;&lt;")</f>
        <v>&gt;&gt;&gt; Enter 2 or more lab quotes &lt;&lt;&lt;</v>
      </c>
      <c r="AJ1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4.4452052260000006</v>
      </c>
      <c r="AL154" s="372">
        <f>IF(ISTEXT(RawMaterials[[#This Row],[Unit price in quote year]]),"Check calcs",RawMaterials[[#This Row],[Unit price in quote year]]/VLOOKUP(RawMaterials[[#This Row],[Quote Year]],ChemPPI[],14,FALSE)*VLOOKUP(BasisYear,ChemPPI[],14,FALSE))</f>
        <v>6.0331011984989855</v>
      </c>
      <c r="AM154" s="373" t="str">
        <f t="shared" si="2"/>
        <v>$/lb (2016)</v>
      </c>
    </row>
    <row r="155" spans="1:39">
      <c r="A155" s="263" t="s">
        <v>1260</v>
      </c>
      <c r="B155" s="264"/>
      <c r="C155" s="271"/>
      <c r="D155" s="365"/>
      <c r="E155" s="264">
        <v>100</v>
      </c>
      <c r="F155" s="264"/>
      <c r="G155" s="271"/>
      <c r="H155" s="271"/>
      <c r="I155" s="268"/>
      <c r="J155" s="271"/>
      <c r="K155" s="271"/>
      <c r="L155" s="271"/>
      <c r="M155" s="271"/>
      <c r="N155" s="271"/>
      <c r="O155" s="271"/>
      <c r="P155" s="265">
        <v>180</v>
      </c>
      <c r="Q155" s="264">
        <v>1</v>
      </c>
      <c r="R155" s="264" t="s">
        <v>71</v>
      </c>
      <c r="S155" s="264">
        <v>2006</v>
      </c>
      <c r="T155" s="266" t="s">
        <v>163</v>
      </c>
      <c r="U155" s="267">
        <v>42653</v>
      </c>
      <c r="V155" s="269"/>
      <c r="W155" s="366">
        <f>COUNT(RawMaterials[[#This Row],[Lab Quantity 1]:[Lab Quantity 4]])</f>
        <v>0</v>
      </c>
      <c r="X1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5" s="367" t="e">
        <f>RawMaterials[[#This Row],[Lab Price 1]]/RawMaterials[[#This Row],[Lab Q Model Units 1]]</f>
        <v>#N/A</v>
      </c>
      <c r="AC155" s="367" t="e">
        <f>RawMaterials[[#This Row],[Lab Price 2]]/RawMaterials[[#This Row],[Lab Q Model Units 2]]</f>
        <v>#N/A</v>
      </c>
      <c r="AD155" s="367" t="e">
        <f>RawMaterials[[#This Row],[Lab Price 3]]/RawMaterials[[#This Row],[Lab Q Model Units 3]]</f>
        <v>#N/A</v>
      </c>
      <c r="AE155" s="367" t="e">
        <f>RawMaterials[[#This Row],[Lab Price 4]]/RawMaterials[[#This Row],[Lab Q Model Units 4]]</f>
        <v>#N/A</v>
      </c>
      <c r="AF155" s="367" t="str">
        <f ca="1">IF(RawMaterials[[#This Row],[Lab Quote Count]]&gt;1,SLOPE(LOG(INDIRECT("RawMaterials[@[Lab Unit P 1]:[Lab Unit P "&amp;RawMaterials[[#This Row],[Lab Quote Count]]&amp;"]]")),LOG(INDIRECT("RawMaterials[@[Lab Q Model Units 1]:[Lab Q Model Units "&amp;RawMaterials[[#This Row],[Lab Quote Count]]&amp;"]]"))),"")</f>
        <v/>
      </c>
      <c r="AG155" s="367" t="str">
        <f ca="1">IF(RawMaterials[[#This Row],[Lab Quote Count]]&gt;1,INTERCEPT(LOG(INDIRECT("RawMaterials[@[Lab Unit P 1]:[Lab Unit P "&amp;RawMaterials[[#This Row],[Lab Quote Count]]&amp;"]]")),LOG(INDIRECT("RawMaterials[@[Lab Q Model Units 1]:[Lab Q Model Units "&amp;RawMaterials[[#This Row],[Lab Quote Count]]&amp;"]]"))),"")</f>
        <v/>
      </c>
      <c r="AH155" s="368" t="str">
        <f>IF(RawMaterials[[#This Row],[Material Type]]="Metal Precursor","D13",IF(RawMaterials[[#This Row],[Material Type]]="Ligand","D13","D12"))</f>
        <v>D12</v>
      </c>
      <c r="AI155" s="369" t="str">
        <f ca="1">IF(RawMaterials[[#This Row],[Lab Quote Count]]&gt;1,10^RawMaterials[[#This Row],[Lab Log-Log Intercept]]*INDIRECT(RawMaterials[[#This Row],[Basis Cell]])^RawMaterials[[#This Row],[Lab Log-Log Slope]],"&gt;&gt;&gt; Enter 2 or more lab quotes &lt;&lt;&lt;")</f>
        <v>&gt;&gt;&gt; Enter 2 or more lab quotes &lt;&lt;&lt;</v>
      </c>
      <c r="AJ1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81.646626600000005</v>
      </c>
      <c r="AL155" s="372">
        <f>IF(ISTEXT(RawMaterials[[#This Row],[Unit price in quote year]]),"Check calcs",RawMaterials[[#This Row],[Unit price in quote year]]/VLOOKUP(RawMaterials[[#This Row],[Quote Year]],ChemPPI[],14,FALSE)*VLOOKUP(BasisYear,ChemPPI[],14,FALSE))</f>
        <v>110.81206282957319</v>
      </c>
      <c r="AM155" s="373" t="str">
        <f t="shared" si="2"/>
        <v>$/lb (2016)</v>
      </c>
    </row>
    <row r="156" spans="1:39">
      <c r="A156" s="263" t="s">
        <v>1261</v>
      </c>
      <c r="B156" s="264"/>
      <c r="C156" s="271"/>
      <c r="D156" s="365"/>
      <c r="E156" s="264">
        <v>100</v>
      </c>
      <c r="F156" s="264"/>
      <c r="G156" s="271"/>
      <c r="H156" s="271"/>
      <c r="I156" s="268"/>
      <c r="J156" s="271"/>
      <c r="K156" s="271"/>
      <c r="L156" s="271"/>
      <c r="M156" s="271"/>
      <c r="N156" s="271"/>
      <c r="O156" s="271"/>
      <c r="P156" s="265">
        <v>84</v>
      </c>
      <c r="Q156" s="264">
        <v>1</v>
      </c>
      <c r="R156" s="264" t="s">
        <v>71</v>
      </c>
      <c r="S156" s="264">
        <v>2006</v>
      </c>
      <c r="T156" s="266" t="s">
        <v>163</v>
      </c>
      <c r="U156" s="267">
        <v>42653</v>
      </c>
      <c r="V156" s="269"/>
      <c r="W156" s="366">
        <f>COUNT(RawMaterials[[#This Row],[Lab Quantity 1]:[Lab Quantity 4]])</f>
        <v>0</v>
      </c>
      <c r="X1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6" s="367" t="e">
        <f>RawMaterials[[#This Row],[Lab Price 1]]/RawMaterials[[#This Row],[Lab Q Model Units 1]]</f>
        <v>#N/A</v>
      </c>
      <c r="AC156" s="367" t="e">
        <f>RawMaterials[[#This Row],[Lab Price 2]]/RawMaterials[[#This Row],[Lab Q Model Units 2]]</f>
        <v>#N/A</v>
      </c>
      <c r="AD156" s="367" t="e">
        <f>RawMaterials[[#This Row],[Lab Price 3]]/RawMaterials[[#This Row],[Lab Q Model Units 3]]</f>
        <v>#N/A</v>
      </c>
      <c r="AE156" s="367" t="e">
        <f>RawMaterials[[#This Row],[Lab Price 4]]/RawMaterials[[#This Row],[Lab Q Model Units 4]]</f>
        <v>#N/A</v>
      </c>
      <c r="AF156" s="367" t="str">
        <f ca="1">IF(RawMaterials[[#This Row],[Lab Quote Count]]&gt;1,SLOPE(LOG(INDIRECT("RawMaterials[@[Lab Unit P 1]:[Lab Unit P "&amp;RawMaterials[[#This Row],[Lab Quote Count]]&amp;"]]")),LOG(INDIRECT("RawMaterials[@[Lab Q Model Units 1]:[Lab Q Model Units "&amp;RawMaterials[[#This Row],[Lab Quote Count]]&amp;"]]"))),"")</f>
        <v/>
      </c>
      <c r="AG156" s="367" t="str">
        <f ca="1">IF(RawMaterials[[#This Row],[Lab Quote Count]]&gt;1,INTERCEPT(LOG(INDIRECT("RawMaterials[@[Lab Unit P 1]:[Lab Unit P "&amp;RawMaterials[[#This Row],[Lab Quote Count]]&amp;"]]")),LOG(INDIRECT("RawMaterials[@[Lab Q Model Units 1]:[Lab Q Model Units "&amp;RawMaterials[[#This Row],[Lab Quote Count]]&amp;"]]"))),"")</f>
        <v/>
      </c>
      <c r="AH156" s="368" t="str">
        <f>IF(RawMaterials[[#This Row],[Material Type]]="Metal Precursor","D13",IF(RawMaterials[[#This Row],[Material Type]]="Ligand","D13","D12"))</f>
        <v>D12</v>
      </c>
      <c r="AI156" s="369" t="str">
        <f ca="1">IF(RawMaterials[[#This Row],[Lab Quote Count]]&gt;1,10^RawMaterials[[#This Row],[Lab Log-Log Intercept]]*INDIRECT(RawMaterials[[#This Row],[Basis Cell]])^RawMaterials[[#This Row],[Lab Log-Log Slope]],"&gt;&gt;&gt; Enter 2 or more lab quotes &lt;&lt;&lt;")</f>
        <v>&gt;&gt;&gt; Enter 2 or more lab quotes &lt;&lt;&lt;</v>
      </c>
      <c r="AJ1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38.101759080000001</v>
      </c>
      <c r="AL156" s="372">
        <f>IF(ISTEXT(RawMaterials[[#This Row],[Unit price in quote year]]),"Check calcs",RawMaterials[[#This Row],[Unit price in quote year]]/VLOOKUP(RawMaterials[[#This Row],[Quote Year]],ChemPPI[],14,FALSE)*VLOOKUP(BasisYear,ChemPPI[],14,FALSE))</f>
        <v>51.712295987134162</v>
      </c>
      <c r="AM156" s="373" t="str">
        <f t="shared" si="2"/>
        <v>$/lb (2016)</v>
      </c>
    </row>
    <row r="157" spans="1:39">
      <c r="A157" s="263" t="s">
        <v>1262</v>
      </c>
      <c r="B157" s="264"/>
      <c r="C157" s="271"/>
      <c r="D157" s="365"/>
      <c r="E157" s="264">
        <v>100</v>
      </c>
      <c r="F157" s="264"/>
      <c r="G157" s="271"/>
      <c r="H157" s="271"/>
      <c r="I157" s="268"/>
      <c r="J157" s="271"/>
      <c r="K157" s="271"/>
      <c r="L157" s="271"/>
      <c r="M157" s="271"/>
      <c r="N157" s="271"/>
      <c r="O157" s="271"/>
      <c r="P157" s="265">
        <v>1500</v>
      </c>
      <c r="Q157" s="264">
        <v>1</v>
      </c>
      <c r="R157" s="264" t="s">
        <v>406</v>
      </c>
      <c r="S157" s="264">
        <v>2006</v>
      </c>
      <c r="T157" s="266" t="s">
        <v>163</v>
      </c>
      <c r="U157" s="267">
        <v>42653</v>
      </c>
      <c r="V157" s="269"/>
      <c r="W157" s="366">
        <f>COUNT(RawMaterials[[#This Row],[Lab Quantity 1]:[Lab Quantity 4]])</f>
        <v>0</v>
      </c>
      <c r="X1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7" s="367" t="e">
        <f>RawMaterials[[#This Row],[Lab Price 1]]/RawMaterials[[#This Row],[Lab Q Model Units 1]]</f>
        <v>#N/A</v>
      </c>
      <c r="AC157" s="367" t="e">
        <f>RawMaterials[[#This Row],[Lab Price 2]]/RawMaterials[[#This Row],[Lab Q Model Units 2]]</f>
        <v>#N/A</v>
      </c>
      <c r="AD157" s="367" t="e">
        <f>RawMaterials[[#This Row],[Lab Price 3]]/RawMaterials[[#This Row],[Lab Q Model Units 3]]</f>
        <v>#N/A</v>
      </c>
      <c r="AE157" s="367" t="e">
        <f>RawMaterials[[#This Row],[Lab Price 4]]/RawMaterials[[#This Row],[Lab Q Model Units 4]]</f>
        <v>#N/A</v>
      </c>
      <c r="AF157" s="367" t="str">
        <f ca="1">IF(RawMaterials[[#This Row],[Lab Quote Count]]&gt;1,SLOPE(LOG(INDIRECT("RawMaterials[@[Lab Unit P 1]:[Lab Unit P "&amp;RawMaterials[[#This Row],[Lab Quote Count]]&amp;"]]")),LOG(INDIRECT("RawMaterials[@[Lab Q Model Units 1]:[Lab Q Model Units "&amp;RawMaterials[[#This Row],[Lab Quote Count]]&amp;"]]"))),"")</f>
        <v/>
      </c>
      <c r="AG157" s="367" t="str">
        <f ca="1">IF(RawMaterials[[#This Row],[Lab Quote Count]]&gt;1,INTERCEPT(LOG(INDIRECT("RawMaterials[@[Lab Unit P 1]:[Lab Unit P "&amp;RawMaterials[[#This Row],[Lab Quote Count]]&amp;"]]")),LOG(INDIRECT("RawMaterials[@[Lab Q Model Units 1]:[Lab Q Model Units "&amp;RawMaterials[[#This Row],[Lab Quote Count]]&amp;"]]"))),"")</f>
        <v/>
      </c>
      <c r="AH157" s="368" t="str">
        <f>IF(RawMaterials[[#This Row],[Material Type]]="Metal Precursor","D13",IF(RawMaterials[[#This Row],[Material Type]]="Ligand","D13","D12"))</f>
        <v>D12</v>
      </c>
      <c r="AI157" s="369" t="str">
        <f ca="1">IF(RawMaterials[[#This Row],[Lab Quote Count]]&gt;1,10^RawMaterials[[#This Row],[Lab Log-Log Intercept]]*INDIRECT(RawMaterials[[#This Row],[Basis Cell]])^RawMaterials[[#This Row],[Lab Log-Log Slope]],"&gt;&gt;&gt; Enter 2 or more lab quotes &lt;&lt;&lt;")</f>
        <v>&gt;&gt;&gt; Enter 2 or more lab quotes &lt;&lt;&lt;</v>
      </c>
      <c r="AJ1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157" s="372">
        <f>IF(ISTEXT(RawMaterials[[#This Row],[Unit price in quote year]]),"Check calcs",RawMaterials[[#This Row],[Unit price in quote year]]/VLOOKUP(RawMaterials[[#This Row],[Quote Year]],ChemPPI[],14,FALSE)*VLOOKUP(BasisYear,ChemPPI[],14,FALSE))</f>
        <v>1.0179115853658538</v>
      </c>
      <c r="AM157" s="373" t="str">
        <f t="shared" si="2"/>
        <v>$/lb (2016)</v>
      </c>
    </row>
    <row r="158" spans="1:39">
      <c r="A158" s="263" t="s">
        <v>1263</v>
      </c>
      <c r="B158" s="264"/>
      <c r="C158" s="271"/>
      <c r="D158" s="365"/>
      <c r="E158" s="264">
        <v>100</v>
      </c>
      <c r="F158" s="264"/>
      <c r="G158" s="271"/>
      <c r="H158" s="271"/>
      <c r="I158" s="268"/>
      <c r="J158" s="271"/>
      <c r="K158" s="271"/>
      <c r="L158" s="271"/>
      <c r="M158" s="271"/>
      <c r="N158" s="271"/>
      <c r="O158" s="271"/>
      <c r="P158" s="265">
        <v>1.6</v>
      </c>
      <c r="Q158" s="264">
        <v>1</v>
      </c>
      <c r="R158" s="264" t="s">
        <v>20</v>
      </c>
      <c r="S158" s="264">
        <v>2008</v>
      </c>
      <c r="T158" s="266" t="s">
        <v>163</v>
      </c>
      <c r="U158" s="267">
        <v>42653</v>
      </c>
      <c r="V158" s="269"/>
      <c r="W158" s="366">
        <f>COUNT(RawMaterials[[#This Row],[Lab Quantity 1]:[Lab Quantity 4]])</f>
        <v>0</v>
      </c>
      <c r="X1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8" s="367" t="e">
        <f>RawMaterials[[#This Row],[Lab Price 1]]/RawMaterials[[#This Row],[Lab Q Model Units 1]]</f>
        <v>#N/A</v>
      </c>
      <c r="AC158" s="367" t="e">
        <f>RawMaterials[[#This Row],[Lab Price 2]]/RawMaterials[[#This Row],[Lab Q Model Units 2]]</f>
        <v>#N/A</v>
      </c>
      <c r="AD158" s="367" t="e">
        <f>RawMaterials[[#This Row],[Lab Price 3]]/RawMaterials[[#This Row],[Lab Q Model Units 3]]</f>
        <v>#N/A</v>
      </c>
      <c r="AE158" s="367" t="e">
        <f>RawMaterials[[#This Row],[Lab Price 4]]/RawMaterials[[#This Row],[Lab Q Model Units 4]]</f>
        <v>#N/A</v>
      </c>
      <c r="AF158" s="367" t="str">
        <f ca="1">IF(RawMaterials[[#This Row],[Lab Quote Count]]&gt;1,SLOPE(LOG(INDIRECT("RawMaterials[@[Lab Unit P 1]:[Lab Unit P "&amp;RawMaterials[[#This Row],[Lab Quote Count]]&amp;"]]")),LOG(INDIRECT("RawMaterials[@[Lab Q Model Units 1]:[Lab Q Model Units "&amp;RawMaterials[[#This Row],[Lab Quote Count]]&amp;"]]"))),"")</f>
        <v/>
      </c>
      <c r="AG158" s="367" t="str">
        <f ca="1">IF(RawMaterials[[#This Row],[Lab Quote Count]]&gt;1,INTERCEPT(LOG(INDIRECT("RawMaterials[@[Lab Unit P 1]:[Lab Unit P "&amp;RawMaterials[[#This Row],[Lab Quote Count]]&amp;"]]")),LOG(INDIRECT("RawMaterials[@[Lab Q Model Units 1]:[Lab Q Model Units "&amp;RawMaterials[[#This Row],[Lab Quote Count]]&amp;"]]"))),"")</f>
        <v/>
      </c>
      <c r="AH158" s="368" t="str">
        <f>IF(RawMaterials[[#This Row],[Material Type]]="Metal Precursor","D13",IF(RawMaterials[[#This Row],[Material Type]]="Ligand","D13","D12"))</f>
        <v>D12</v>
      </c>
      <c r="AI158" s="369" t="str">
        <f ca="1">IF(RawMaterials[[#This Row],[Lab Quote Count]]&gt;1,10^RawMaterials[[#This Row],[Lab Log-Log Intercept]]*INDIRECT(RawMaterials[[#This Row],[Basis Cell]])^RawMaterials[[#This Row],[Lab Log-Log Slope]],"&gt;&gt;&gt; Enter 2 or more lab quotes &lt;&lt;&lt;")</f>
        <v>&gt;&gt;&gt; Enter 2 or more lab quotes &lt;&lt;&lt;</v>
      </c>
      <c r="AJ1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v>
      </c>
      <c r="AL158" s="372">
        <f>IF(ISTEXT(RawMaterials[[#This Row],[Unit price in quote year]]),"Check calcs",RawMaterials[[#This Row],[Unit price in quote year]]/VLOOKUP(RawMaterials[[#This Row],[Quote Year]],ChemPPI[],14,FALSE)*VLOOKUP(BasisYear,ChemPPI[],14,FALSE))</f>
        <v>1.8726748219828375</v>
      </c>
      <c r="AM158" s="373" t="str">
        <f t="shared" si="2"/>
        <v>$/lb (2016)</v>
      </c>
    </row>
    <row r="159" spans="1:39">
      <c r="A159" s="263" t="s">
        <v>1264</v>
      </c>
      <c r="B159" s="264"/>
      <c r="C159" s="271"/>
      <c r="D159" s="365"/>
      <c r="E159" s="264">
        <v>100</v>
      </c>
      <c r="F159" s="264"/>
      <c r="G159" s="271"/>
      <c r="H159" s="271"/>
      <c r="I159" s="268"/>
      <c r="J159" s="271"/>
      <c r="K159" s="271"/>
      <c r="L159" s="271"/>
      <c r="M159" s="271"/>
      <c r="N159" s="271"/>
      <c r="O159" s="271"/>
      <c r="P159" s="265">
        <v>1.675</v>
      </c>
      <c r="Q159" s="264">
        <v>1</v>
      </c>
      <c r="R159" s="264" t="s">
        <v>20</v>
      </c>
      <c r="S159" s="264">
        <v>2008</v>
      </c>
      <c r="T159" s="266" t="s">
        <v>163</v>
      </c>
      <c r="U159" s="267">
        <v>42653</v>
      </c>
      <c r="V159" s="269"/>
      <c r="W159" s="366">
        <f>COUNT(RawMaterials[[#This Row],[Lab Quantity 1]:[Lab Quantity 4]])</f>
        <v>0</v>
      </c>
      <c r="X1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59" s="367" t="e">
        <f>RawMaterials[[#This Row],[Lab Price 1]]/RawMaterials[[#This Row],[Lab Q Model Units 1]]</f>
        <v>#N/A</v>
      </c>
      <c r="AC159" s="367" t="e">
        <f>RawMaterials[[#This Row],[Lab Price 2]]/RawMaterials[[#This Row],[Lab Q Model Units 2]]</f>
        <v>#N/A</v>
      </c>
      <c r="AD159" s="367" t="e">
        <f>RawMaterials[[#This Row],[Lab Price 3]]/RawMaterials[[#This Row],[Lab Q Model Units 3]]</f>
        <v>#N/A</v>
      </c>
      <c r="AE159" s="367" t="e">
        <f>RawMaterials[[#This Row],[Lab Price 4]]/RawMaterials[[#This Row],[Lab Q Model Units 4]]</f>
        <v>#N/A</v>
      </c>
      <c r="AF159" s="367" t="str">
        <f ca="1">IF(RawMaterials[[#This Row],[Lab Quote Count]]&gt;1,SLOPE(LOG(INDIRECT("RawMaterials[@[Lab Unit P 1]:[Lab Unit P "&amp;RawMaterials[[#This Row],[Lab Quote Count]]&amp;"]]")),LOG(INDIRECT("RawMaterials[@[Lab Q Model Units 1]:[Lab Q Model Units "&amp;RawMaterials[[#This Row],[Lab Quote Count]]&amp;"]]"))),"")</f>
        <v/>
      </c>
      <c r="AG159" s="367" t="str">
        <f ca="1">IF(RawMaterials[[#This Row],[Lab Quote Count]]&gt;1,INTERCEPT(LOG(INDIRECT("RawMaterials[@[Lab Unit P 1]:[Lab Unit P "&amp;RawMaterials[[#This Row],[Lab Quote Count]]&amp;"]]")),LOG(INDIRECT("RawMaterials[@[Lab Q Model Units 1]:[Lab Q Model Units "&amp;RawMaterials[[#This Row],[Lab Quote Count]]&amp;"]]"))),"")</f>
        <v/>
      </c>
      <c r="AH159" s="368" t="str">
        <f>IF(RawMaterials[[#This Row],[Material Type]]="Metal Precursor","D13",IF(RawMaterials[[#This Row],[Material Type]]="Ligand","D13","D12"))</f>
        <v>D12</v>
      </c>
      <c r="AI159" s="369" t="str">
        <f ca="1">IF(RawMaterials[[#This Row],[Lab Quote Count]]&gt;1,10^RawMaterials[[#This Row],[Lab Log-Log Intercept]]*INDIRECT(RawMaterials[[#This Row],[Basis Cell]])^RawMaterials[[#This Row],[Lab Log-Log Slope]],"&gt;&gt;&gt; Enter 2 or more lab quotes &lt;&lt;&lt;")</f>
        <v>&gt;&gt;&gt; Enter 2 or more lab quotes &lt;&lt;&lt;</v>
      </c>
      <c r="AJ1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1.675</v>
      </c>
      <c r="AL159" s="372">
        <f>IF(ISTEXT(RawMaterials[[#This Row],[Unit price in quote year]]),"Check calcs",RawMaterials[[#This Row],[Unit price in quote year]]/VLOOKUP(RawMaterials[[#This Row],[Quote Year]],ChemPPI[],14,FALSE)*VLOOKUP(BasisYear,ChemPPI[],14,FALSE))</f>
        <v>1.960456454263283</v>
      </c>
      <c r="AM159" s="373" t="str">
        <f t="shared" si="2"/>
        <v>$/lb (2016)</v>
      </c>
    </row>
    <row r="160" spans="1:39">
      <c r="A160" s="263" t="s">
        <v>1265</v>
      </c>
      <c r="B160" s="264"/>
      <c r="C160" s="271"/>
      <c r="D160" s="365"/>
      <c r="E160" s="264">
        <v>100</v>
      </c>
      <c r="F160" s="264"/>
      <c r="G160" s="271"/>
      <c r="H160" s="271"/>
      <c r="I160" s="268"/>
      <c r="J160" s="271"/>
      <c r="K160" s="271"/>
      <c r="L160" s="271"/>
      <c r="M160" s="271"/>
      <c r="N160" s="271"/>
      <c r="O160" s="271"/>
      <c r="P160" s="265">
        <v>1.56</v>
      </c>
      <c r="Q160" s="264">
        <v>1</v>
      </c>
      <c r="R160" s="264" t="s">
        <v>20</v>
      </c>
      <c r="S160" s="264">
        <v>2008</v>
      </c>
      <c r="T160" s="266" t="s">
        <v>163</v>
      </c>
      <c r="U160" s="267">
        <v>42653</v>
      </c>
      <c r="V160" s="269"/>
      <c r="W160" s="366">
        <f>COUNT(RawMaterials[[#This Row],[Lab Quantity 1]:[Lab Quantity 4]])</f>
        <v>0</v>
      </c>
      <c r="X1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0" s="367" t="e">
        <f>RawMaterials[[#This Row],[Lab Price 1]]/RawMaterials[[#This Row],[Lab Q Model Units 1]]</f>
        <v>#N/A</v>
      </c>
      <c r="AC160" s="367" t="e">
        <f>RawMaterials[[#This Row],[Lab Price 2]]/RawMaterials[[#This Row],[Lab Q Model Units 2]]</f>
        <v>#N/A</v>
      </c>
      <c r="AD160" s="367" t="e">
        <f>RawMaterials[[#This Row],[Lab Price 3]]/RawMaterials[[#This Row],[Lab Q Model Units 3]]</f>
        <v>#N/A</v>
      </c>
      <c r="AE160" s="367" t="e">
        <f>RawMaterials[[#This Row],[Lab Price 4]]/RawMaterials[[#This Row],[Lab Q Model Units 4]]</f>
        <v>#N/A</v>
      </c>
      <c r="AF160" s="367" t="str">
        <f ca="1">IF(RawMaterials[[#This Row],[Lab Quote Count]]&gt;1,SLOPE(LOG(INDIRECT("RawMaterials[@[Lab Unit P 1]:[Lab Unit P "&amp;RawMaterials[[#This Row],[Lab Quote Count]]&amp;"]]")),LOG(INDIRECT("RawMaterials[@[Lab Q Model Units 1]:[Lab Q Model Units "&amp;RawMaterials[[#This Row],[Lab Quote Count]]&amp;"]]"))),"")</f>
        <v/>
      </c>
      <c r="AG160" s="367" t="str">
        <f ca="1">IF(RawMaterials[[#This Row],[Lab Quote Count]]&gt;1,INTERCEPT(LOG(INDIRECT("RawMaterials[@[Lab Unit P 1]:[Lab Unit P "&amp;RawMaterials[[#This Row],[Lab Quote Count]]&amp;"]]")),LOG(INDIRECT("RawMaterials[@[Lab Q Model Units 1]:[Lab Q Model Units "&amp;RawMaterials[[#This Row],[Lab Quote Count]]&amp;"]]"))),"")</f>
        <v/>
      </c>
      <c r="AH160" s="368" t="str">
        <f>IF(RawMaterials[[#This Row],[Material Type]]="Metal Precursor","D13",IF(RawMaterials[[#This Row],[Material Type]]="Ligand","D13","D12"))</f>
        <v>D12</v>
      </c>
      <c r="AI160" s="369" t="str">
        <f ca="1">IF(RawMaterials[[#This Row],[Lab Quote Count]]&gt;1,10^RawMaterials[[#This Row],[Lab Log-Log Intercept]]*INDIRECT(RawMaterials[[#This Row],[Basis Cell]])^RawMaterials[[#This Row],[Lab Log-Log Slope]],"&gt;&gt;&gt; Enter 2 or more lab quotes &lt;&lt;&lt;")</f>
        <v>&gt;&gt;&gt; Enter 2 or more lab quotes &lt;&lt;&lt;</v>
      </c>
      <c r="AJ1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160" s="372">
        <f>IF(ISTEXT(RawMaterials[[#This Row],[Unit price in quote year]]),"Check calcs",RawMaterials[[#This Row],[Unit price in quote year]]/VLOOKUP(RawMaterials[[#This Row],[Quote Year]],ChemPPI[],14,FALSE)*VLOOKUP(BasisYear,ChemPPI[],14,FALSE))</f>
        <v>1.8258579514332667</v>
      </c>
      <c r="AM160" s="373" t="str">
        <f t="shared" si="2"/>
        <v>$/lb (2016)</v>
      </c>
    </row>
    <row r="161" spans="1:39">
      <c r="A161" s="263" t="s">
        <v>1266</v>
      </c>
      <c r="B161" s="264"/>
      <c r="C161" s="271"/>
      <c r="D161" s="365"/>
      <c r="E161" s="264">
        <v>100</v>
      </c>
      <c r="F161" s="264"/>
      <c r="G161" s="271"/>
      <c r="H161" s="271"/>
      <c r="I161" s="268"/>
      <c r="J161" s="271"/>
      <c r="K161" s="271"/>
      <c r="L161" s="271"/>
      <c r="M161" s="271"/>
      <c r="N161" s="271"/>
      <c r="O161" s="271"/>
      <c r="P161" s="265">
        <v>4.3</v>
      </c>
      <c r="Q161" s="264">
        <v>1</v>
      </c>
      <c r="R161" s="264" t="s">
        <v>20</v>
      </c>
      <c r="S161" s="264">
        <v>2006</v>
      </c>
      <c r="T161" s="266" t="s">
        <v>163</v>
      </c>
      <c r="U161" s="267">
        <v>42653</v>
      </c>
      <c r="V161" s="269"/>
      <c r="W161" s="366">
        <f>COUNT(RawMaterials[[#This Row],[Lab Quantity 1]:[Lab Quantity 4]])</f>
        <v>0</v>
      </c>
      <c r="X1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1" s="367" t="e">
        <f>RawMaterials[[#This Row],[Lab Price 1]]/RawMaterials[[#This Row],[Lab Q Model Units 1]]</f>
        <v>#N/A</v>
      </c>
      <c r="AC161" s="367" t="e">
        <f>RawMaterials[[#This Row],[Lab Price 2]]/RawMaterials[[#This Row],[Lab Q Model Units 2]]</f>
        <v>#N/A</v>
      </c>
      <c r="AD161" s="367" t="e">
        <f>RawMaterials[[#This Row],[Lab Price 3]]/RawMaterials[[#This Row],[Lab Q Model Units 3]]</f>
        <v>#N/A</v>
      </c>
      <c r="AE161" s="367" t="e">
        <f>RawMaterials[[#This Row],[Lab Price 4]]/RawMaterials[[#This Row],[Lab Q Model Units 4]]</f>
        <v>#N/A</v>
      </c>
      <c r="AF161" s="367" t="str">
        <f ca="1">IF(RawMaterials[[#This Row],[Lab Quote Count]]&gt;1,SLOPE(LOG(INDIRECT("RawMaterials[@[Lab Unit P 1]:[Lab Unit P "&amp;RawMaterials[[#This Row],[Lab Quote Count]]&amp;"]]")),LOG(INDIRECT("RawMaterials[@[Lab Q Model Units 1]:[Lab Q Model Units "&amp;RawMaterials[[#This Row],[Lab Quote Count]]&amp;"]]"))),"")</f>
        <v/>
      </c>
      <c r="AG161" s="367" t="str">
        <f ca="1">IF(RawMaterials[[#This Row],[Lab Quote Count]]&gt;1,INTERCEPT(LOG(INDIRECT("RawMaterials[@[Lab Unit P 1]:[Lab Unit P "&amp;RawMaterials[[#This Row],[Lab Quote Count]]&amp;"]]")),LOG(INDIRECT("RawMaterials[@[Lab Q Model Units 1]:[Lab Q Model Units "&amp;RawMaterials[[#This Row],[Lab Quote Count]]&amp;"]]"))),"")</f>
        <v/>
      </c>
      <c r="AH161" s="368" t="str">
        <f>IF(RawMaterials[[#This Row],[Material Type]]="Metal Precursor","D13",IF(RawMaterials[[#This Row],[Material Type]]="Ligand","D13","D12"))</f>
        <v>D12</v>
      </c>
      <c r="AI161" s="369" t="str">
        <f ca="1">IF(RawMaterials[[#This Row],[Lab Quote Count]]&gt;1,10^RawMaterials[[#This Row],[Lab Log-Log Intercept]]*INDIRECT(RawMaterials[[#This Row],[Basis Cell]])^RawMaterials[[#This Row],[Lab Log-Log Slope]],"&gt;&gt;&gt; Enter 2 or more lab quotes &lt;&lt;&lt;")</f>
        <v>&gt;&gt;&gt; Enter 2 or more lab quotes &lt;&lt;&lt;</v>
      </c>
      <c r="AJ1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v>
      </c>
      <c r="AL161" s="372">
        <f>IF(ISTEXT(RawMaterials[[#This Row],[Unit price in quote year]]),"Check calcs",RawMaterials[[#This Row],[Unit price in quote year]]/VLOOKUP(RawMaterials[[#This Row],[Quote Year]],ChemPPI[],14,FALSE)*VLOOKUP(BasisYear,ChemPPI[],14,FALSE))</f>
        <v>5.8360264227642284</v>
      </c>
      <c r="AM161" s="373" t="str">
        <f t="shared" si="2"/>
        <v>$/lb (2016)</v>
      </c>
    </row>
    <row r="162" spans="1:39">
      <c r="A162" s="263" t="s">
        <v>1267</v>
      </c>
      <c r="B162" s="264"/>
      <c r="C162" s="271"/>
      <c r="D162" s="365"/>
      <c r="E162" s="264">
        <v>100</v>
      </c>
      <c r="F162" s="264"/>
      <c r="G162" s="271"/>
      <c r="H162" s="271"/>
      <c r="I162" s="268"/>
      <c r="J162" s="271"/>
      <c r="K162" s="271"/>
      <c r="L162" s="271"/>
      <c r="M162" s="271"/>
      <c r="N162" s="271"/>
      <c r="O162" s="271"/>
      <c r="P162" s="265">
        <v>0.625</v>
      </c>
      <c r="Q162" s="264">
        <v>1</v>
      </c>
      <c r="R162" s="264" t="s">
        <v>20</v>
      </c>
      <c r="S162" s="264">
        <v>2008</v>
      </c>
      <c r="T162" s="266" t="s">
        <v>163</v>
      </c>
      <c r="U162" s="267">
        <v>42653</v>
      </c>
      <c r="V162" s="269"/>
      <c r="W162" s="366">
        <f>COUNT(RawMaterials[[#This Row],[Lab Quantity 1]:[Lab Quantity 4]])</f>
        <v>0</v>
      </c>
      <c r="X1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2" s="367" t="e">
        <f>RawMaterials[[#This Row],[Lab Price 1]]/RawMaterials[[#This Row],[Lab Q Model Units 1]]</f>
        <v>#N/A</v>
      </c>
      <c r="AC162" s="367" t="e">
        <f>RawMaterials[[#This Row],[Lab Price 2]]/RawMaterials[[#This Row],[Lab Q Model Units 2]]</f>
        <v>#N/A</v>
      </c>
      <c r="AD162" s="367" t="e">
        <f>RawMaterials[[#This Row],[Lab Price 3]]/RawMaterials[[#This Row],[Lab Q Model Units 3]]</f>
        <v>#N/A</v>
      </c>
      <c r="AE162" s="367" t="e">
        <f>RawMaterials[[#This Row],[Lab Price 4]]/RawMaterials[[#This Row],[Lab Q Model Units 4]]</f>
        <v>#N/A</v>
      </c>
      <c r="AF162" s="367" t="str">
        <f ca="1">IF(RawMaterials[[#This Row],[Lab Quote Count]]&gt;1,SLOPE(LOG(INDIRECT("RawMaterials[@[Lab Unit P 1]:[Lab Unit P "&amp;RawMaterials[[#This Row],[Lab Quote Count]]&amp;"]]")),LOG(INDIRECT("RawMaterials[@[Lab Q Model Units 1]:[Lab Q Model Units "&amp;RawMaterials[[#This Row],[Lab Quote Count]]&amp;"]]"))),"")</f>
        <v/>
      </c>
      <c r="AG162" s="367" t="str">
        <f ca="1">IF(RawMaterials[[#This Row],[Lab Quote Count]]&gt;1,INTERCEPT(LOG(INDIRECT("RawMaterials[@[Lab Unit P 1]:[Lab Unit P "&amp;RawMaterials[[#This Row],[Lab Quote Count]]&amp;"]]")),LOG(INDIRECT("RawMaterials[@[Lab Q Model Units 1]:[Lab Q Model Units "&amp;RawMaterials[[#This Row],[Lab Quote Count]]&amp;"]]"))),"")</f>
        <v/>
      </c>
      <c r="AH162" s="368" t="str">
        <f>IF(RawMaterials[[#This Row],[Material Type]]="Metal Precursor","D13",IF(RawMaterials[[#This Row],[Material Type]]="Ligand","D13","D12"))</f>
        <v>D12</v>
      </c>
      <c r="AI162" s="369" t="str">
        <f ca="1">IF(RawMaterials[[#This Row],[Lab Quote Count]]&gt;1,10^RawMaterials[[#This Row],[Lab Log-Log Intercept]]*INDIRECT(RawMaterials[[#This Row],[Basis Cell]])^RawMaterials[[#This Row],[Lab Log-Log Slope]],"&gt;&gt;&gt; Enter 2 or more lab quotes &lt;&lt;&lt;")</f>
        <v>&gt;&gt;&gt; Enter 2 or more lab quotes &lt;&lt;&lt;</v>
      </c>
      <c r="AJ1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162" s="372">
        <f>IF(ISTEXT(RawMaterials[[#This Row],[Unit price in quote year]]),"Check calcs",RawMaterials[[#This Row],[Unit price in quote year]]/VLOOKUP(RawMaterials[[#This Row],[Quote Year]],ChemPPI[],14,FALSE)*VLOOKUP(BasisYear,ChemPPI[],14,FALSE))</f>
        <v>0.73151360233704588</v>
      </c>
      <c r="AM162" s="373" t="str">
        <f t="shared" si="2"/>
        <v>$/lb (2016)</v>
      </c>
    </row>
    <row r="163" spans="1:39">
      <c r="A163" s="263" t="s">
        <v>1268</v>
      </c>
      <c r="B163" s="264"/>
      <c r="C163" s="271"/>
      <c r="D163" s="365"/>
      <c r="E163" s="264">
        <v>100</v>
      </c>
      <c r="F163" s="264"/>
      <c r="G163" s="271"/>
      <c r="H163" s="271"/>
      <c r="I163" s="268"/>
      <c r="J163" s="271"/>
      <c r="K163" s="271"/>
      <c r="L163" s="271"/>
      <c r="M163" s="271"/>
      <c r="N163" s="271"/>
      <c r="O163" s="271"/>
      <c r="P163" s="265">
        <v>0.53499999999999903</v>
      </c>
      <c r="Q163" s="264">
        <v>1</v>
      </c>
      <c r="R163" s="264" t="s">
        <v>20</v>
      </c>
      <c r="S163" s="264">
        <v>2008</v>
      </c>
      <c r="T163" s="266" t="s">
        <v>163</v>
      </c>
      <c r="U163" s="267">
        <v>42653</v>
      </c>
      <c r="V163" s="269"/>
      <c r="W163" s="366">
        <f>COUNT(RawMaterials[[#This Row],[Lab Quantity 1]:[Lab Quantity 4]])</f>
        <v>0</v>
      </c>
      <c r="X1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3" s="367" t="e">
        <f>RawMaterials[[#This Row],[Lab Price 1]]/RawMaterials[[#This Row],[Lab Q Model Units 1]]</f>
        <v>#N/A</v>
      </c>
      <c r="AC163" s="367" t="e">
        <f>RawMaterials[[#This Row],[Lab Price 2]]/RawMaterials[[#This Row],[Lab Q Model Units 2]]</f>
        <v>#N/A</v>
      </c>
      <c r="AD163" s="367" t="e">
        <f>RawMaterials[[#This Row],[Lab Price 3]]/RawMaterials[[#This Row],[Lab Q Model Units 3]]</f>
        <v>#N/A</v>
      </c>
      <c r="AE163" s="367" t="e">
        <f>RawMaterials[[#This Row],[Lab Price 4]]/RawMaterials[[#This Row],[Lab Q Model Units 4]]</f>
        <v>#N/A</v>
      </c>
      <c r="AF163" s="367" t="str">
        <f ca="1">IF(RawMaterials[[#This Row],[Lab Quote Count]]&gt;1,SLOPE(LOG(INDIRECT("RawMaterials[@[Lab Unit P 1]:[Lab Unit P "&amp;RawMaterials[[#This Row],[Lab Quote Count]]&amp;"]]")),LOG(INDIRECT("RawMaterials[@[Lab Q Model Units 1]:[Lab Q Model Units "&amp;RawMaterials[[#This Row],[Lab Quote Count]]&amp;"]]"))),"")</f>
        <v/>
      </c>
      <c r="AG163" s="367" t="str">
        <f ca="1">IF(RawMaterials[[#This Row],[Lab Quote Count]]&gt;1,INTERCEPT(LOG(INDIRECT("RawMaterials[@[Lab Unit P 1]:[Lab Unit P "&amp;RawMaterials[[#This Row],[Lab Quote Count]]&amp;"]]")),LOG(INDIRECT("RawMaterials[@[Lab Q Model Units 1]:[Lab Q Model Units "&amp;RawMaterials[[#This Row],[Lab Quote Count]]&amp;"]]"))),"")</f>
        <v/>
      </c>
      <c r="AH163" s="368" t="str">
        <f>IF(RawMaterials[[#This Row],[Material Type]]="Metal Precursor","D13",IF(RawMaterials[[#This Row],[Material Type]]="Ligand","D13","D12"))</f>
        <v>D12</v>
      </c>
      <c r="AI163" s="369" t="str">
        <f ca="1">IF(RawMaterials[[#This Row],[Lab Quote Count]]&gt;1,10^RawMaterials[[#This Row],[Lab Log-Log Intercept]]*INDIRECT(RawMaterials[[#This Row],[Basis Cell]])^RawMaterials[[#This Row],[Lab Log-Log Slope]],"&gt;&gt;&gt; Enter 2 or more lab quotes &lt;&lt;&lt;")</f>
        <v>&gt;&gt;&gt; Enter 2 or more lab quotes &lt;&lt;&lt;</v>
      </c>
      <c r="AJ1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0.53499999999999903</v>
      </c>
      <c r="AL163" s="372">
        <f>IF(ISTEXT(RawMaterials[[#This Row],[Unit price in quote year]]),"Check calcs",RawMaterials[[#This Row],[Unit price in quote year]]/VLOOKUP(RawMaterials[[#This Row],[Quote Year]],ChemPPI[],14,FALSE)*VLOOKUP(BasisYear,ChemPPI[],14,FALSE))</f>
        <v>0.62617564360051015</v>
      </c>
      <c r="AM163" s="373" t="str">
        <f t="shared" si="2"/>
        <v>$/lb (2016)</v>
      </c>
    </row>
    <row r="164" spans="1:39">
      <c r="A164" s="263" t="s">
        <v>1269</v>
      </c>
      <c r="B164" s="264"/>
      <c r="C164" s="271"/>
      <c r="D164" s="365"/>
      <c r="E164" s="264">
        <v>100</v>
      </c>
      <c r="F164" s="264"/>
      <c r="G164" s="271"/>
      <c r="H164" s="271"/>
      <c r="I164" s="268"/>
      <c r="J164" s="271"/>
      <c r="K164" s="271"/>
      <c r="L164" s="271"/>
      <c r="M164" s="271"/>
      <c r="N164" s="271"/>
      <c r="O164" s="271"/>
      <c r="P164" s="265">
        <v>0.76500000000000001</v>
      </c>
      <c r="Q164" s="264">
        <v>1</v>
      </c>
      <c r="R164" s="264" t="s">
        <v>20</v>
      </c>
      <c r="S164" s="264">
        <v>2006</v>
      </c>
      <c r="T164" s="266" t="s">
        <v>163</v>
      </c>
      <c r="U164" s="267">
        <v>42653</v>
      </c>
      <c r="V164" s="269"/>
      <c r="W164" s="366">
        <f>COUNT(RawMaterials[[#This Row],[Lab Quantity 1]:[Lab Quantity 4]])</f>
        <v>0</v>
      </c>
      <c r="X1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4" s="367" t="e">
        <f>RawMaterials[[#This Row],[Lab Price 1]]/RawMaterials[[#This Row],[Lab Q Model Units 1]]</f>
        <v>#N/A</v>
      </c>
      <c r="AC164" s="367" t="e">
        <f>RawMaterials[[#This Row],[Lab Price 2]]/RawMaterials[[#This Row],[Lab Q Model Units 2]]</f>
        <v>#N/A</v>
      </c>
      <c r="AD164" s="367" t="e">
        <f>RawMaterials[[#This Row],[Lab Price 3]]/RawMaterials[[#This Row],[Lab Q Model Units 3]]</f>
        <v>#N/A</v>
      </c>
      <c r="AE164" s="367" t="e">
        <f>RawMaterials[[#This Row],[Lab Price 4]]/RawMaterials[[#This Row],[Lab Q Model Units 4]]</f>
        <v>#N/A</v>
      </c>
      <c r="AF164" s="367" t="str">
        <f ca="1">IF(RawMaterials[[#This Row],[Lab Quote Count]]&gt;1,SLOPE(LOG(INDIRECT("RawMaterials[@[Lab Unit P 1]:[Lab Unit P "&amp;RawMaterials[[#This Row],[Lab Quote Count]]&amp;"]]")),LOG(INDIRECT("RawMaterials[@[Lab Q Model Units 1]:[Lab Q Model Units "&amp;RawMaterials[[#This Row],[Lab Quote Count]]&amp;"]]"))),"")</f>
        <v/>
      </c>
      <c r="AG164" s="367" t="str">
        <f ca="1">IF(RawMaterials[[#This Row],[Lab Quote Count]]&gt;1,INTERCEPT(LOG(INDIRECT("RawMaterials[@[Lab Unit P 1]:[Lab Unit P "&amp;RawMaterials[[#This Row],[Lab Quote Count]]&amp;"]]")),LOG(INDIRECT("RawMaterials[@[Lab Q Model Units 1]:[Lab Q Model Units "&amp;RawMaterials[[#This Row],[Lab Quote Count]]&amp;"]]"))),"")</f>
        <v/>
      </c>
      <c r="AH164" s="368" t="str">
        <f>IF(RawMaterials[[#This Row],[Material Type]]="Metal Precursor","D13",IF(RawMaterials[[#This Row],[Material Type]]="Ligand","D13","D12"))</f>
        <v>D12</v>
      </c>
      <c r="AI164" s="369" t="str">
        <f ca="1">IF(RawMaterials[[#This Row],[Lab Quote Count]]&gt;1,10^RawMaterials[[#This Row],[Lab Log-Log Intercept]]*INDIRECT(RawMaterials[[#This Row],[Basis Cell]])^RawMaterials[[#This Row],[Lab Log-Log Slope]],"&gt;&gt;&gt; Enter 2 or more lab quotes &lt;&lt;&lt;")</f>
        <v>&gt;&gt;&gt; Enter 2 or more lab quotes &lt;&lt;&lt;</v>
      </c>
      <c r="AJ1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64" s="372">
        <f>IF(ISTEXT(RawMaterials[[#This Row],[Unit price in quote year]]),"Check calcs",RawMaterials[[#This Row],[Unit price in quote year]]/VLOOKUP(RawMaterials[[#This Row],[Quote Year]],ChemPPI[],14,FALSE)*VLOOKUP(BasisYear,ChemPPI[],14,FALSE))</f>
        <v>1.038269817073171</v>
      </c>
      <c r="AM164" s="373" t="str">
        <f t="shared" si="2"/>
        <v>$/lb (2016)</v>
      </c>
    </row>
    <row r="165" spans="1:39">
      <c r="A165" s="263" t="s">
        <v>1270</v>
      </c>
      <c r="B165" s="264"/>
      <c r="C165" s="271"/>
      <c r="D165" s="365">
        <v>0.78900000000000003</v>
      </c>
      <c r="E165" s="264">
        <v>100</v>
      </c>
      <c r="F165" s="264"/>
      <c r="G165" s="271"/>
      <c r="H165" s="271"/>
      <c r="I165" s="268"/>
      <c r="J165" s="271"/>
      <c r="K165" s="271"/>
      <c r="L165" s="271"/>
      <c r="M165" s="271"/>
      <c r="N165" s="271"/>
      <c r="O165" s="271"/>
      <c r="P165" s="265">
        <v>2.4500000000000002</v>
      </c>
      <c r="Q165" s="264">
        <v>1</v>
      </c>
      <c r="R165" s="264" t="s">
        <v>85</v>
      </c>
      <c r="S165" s="264">
        <v>2008</v>
      </c>
      <c r="T165" s="266" t="s">
        <v>163</v>
      </c>
      <c r="U165" s="267">
        <v>42653</v>
      </c>
      <c r="V165" s="269"/>
      <c r="W165" s="366">
        <f>COUNT(RawMaterials[[#This Row],[Lab Quantity 1]:[Lab Quantity 4]])</f>
        <v>0</v>
      </c>
      <c r="X1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5" s="367" t="e">
        <f>RawMaterials[[#This Row],[Lab Price 1]]/RawMaterials[[#This Row],[Lab Q Model Units 1]]</f>
        <v>#N/A</v>
      </c>
      <c r="AC165" s="367" t="e">
        <f>RawMaterials[[#This Row],[Lab Price 2]]/RawMaterials[[#This Row],[Lab Q Model Units 2]]</f>
        <v>#N/A</v>
      </c>
      <c r="AD165" s="367" t="e">
        <f>RawMaterials[[#This Row],[Lab Price 3]]/RawMaterials[[#This Row],[Lab Q Model Units 3]]</f>
        <v>#N/A</v>
      </c>
      <c r="AE165" s="367" t="e">
        <f>RawMaterials[[#This Row],[Lab Price 4]]/RawMaterials[[#This Row],[Lab Q Model Units 4]]</f>
        <v>#N/A</v>
      </c>
      <c r="AF165" s="367" t="str">
        <f ca="1">IF(RawMaterials[[#This Row],[Lab Quote Count]]&gt;1,SLOPE(LOG(INDIRECT("RawMaterials[@[Lab Unit P 1]:[Lab Unit P "&amp;RawMaterials[[#This Row],[Lab Quote Count]]&amp;"]]")),LOG(INDIRECT("RawMaterials[@[Lab Q Model Units 1]:[Lab Q Model Units "&amp;RawMaterials[[#This Row],[Lab Quote Count]]&amp;"]]"))),"")</f>
        <v/>
      </c>
      <c r="AG165" s="367" t="str">
        <f ca="1">IF(RawMaterials[[#This Row],[Lab Quote Count]]&gt;1,INTERCEPT(LOG(INDIRECT("RawMaterials[@[Lab Unit P 1]:[Lab Unit P "&amp;RawMaterials[[#This Row],[Lab Quote Count]]&amp;"]]")),LOG(INDIRECT("RawMaterials[@[Lab Q Model Units 1]:[Lab Q Model Units "&amp;RawMaterials[[#This Row],[Lab Quote Count]]&amp;"]]"))),"")</f>
        <v/>
      </c>
      <c r="AH165" s="368" t="str">
        <f>IF(RawMaterials[[#This Row],[Material Type]]="Metal Precursor","D13",IF(RawMaterials[[#This Row],[Material Type]]="Ligand","D13","D12"))</f>
        <v>D12</v>
      </c>
      <c r="AI165" s="369" t="str">
        <f ca="1">IF(RawMaterials[[#This Row],[Lab Quote Count]]&gt;1,10^RawMaterials[[#This Row],[Lab Log-Log Intercept]]*INDIRECT(RawMaterials[[#This Row],[Basis Cell]])^RawMaterials[[#This Row],[Lab Log-Log Slope]],"&gt;&gt;&gt; Enter 2 or more lab quotes &lt;&lt;&lt;")</f>
        <v>&gt;&gt;&gt; Enter 2 or more lab quotes &lt;&lt;&lt;</v>
      </c>
      <c r="AJ1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0.37208459686488821</v>
      </c>
      <c r="AL165" s="372">
        <f>IF(ISTEXT(RawMaterials[[#This Row],[Unit price in quote year]]),"Check calcs",RawMaterials[[#This Row],[Unit price in quote year]]/VLOOKUP(RawMaterials[[#This Row],[Quote Year]],ChemPPI[],14,FALSE)*VLOOKUP(BasisYear,ChemPPI[],14,FALSE))</f>
        <v>0.43549591012281896</v>
      </c>
      <c r="AM165" s="373" t="str">
        <f t="shared" si="2"/>
        <v>$/lb (2016)</v>
      </c>
    </row>
    <row r="166" spans="1:39">
      <c r="A166" s="263" t="s">
        <v>1271</v>
      </c>
      <c r="B166" s="264"/>
      <c r="C166" s="271"/>
      <c r="D166" s="365">
        <v>0.78900000000000003</v>
      </c>
      <c r="E166" s="264">
        <v>100</v>
      </c>
      <c r="F166" s="264"/>
      <c r="G166" s="271"/>
      <c r="H166" s="271"/>
      <c r="I166" s="268"/>
      <c r="J166" s="271"/>
      <c r="K166" s="271"/>
      <c r="L166" s="271"/>
      <c r="M166" s="271"/>
      <c r="N166" s="271"/>
      <c r="O166" s="271"/>
      <c r="P166" s="265">
        <v>2.5049999999999999</v>
      </c>
      <c r="Q166" s="264">
        <v>1</v>
      </c>
      <c r="R166" s="264" t="s">
        <v>85</v>
      </c>
      <c r="S166" s="264">
        <v>2008</v>
      </c>
      <c r="T166" s="266" t="s">
        <v>163</v>
      </c>
      <c r="U166" s="267">
        <v>42653</v>
      </c>
      <c r="V166" s="269"/>
      <c r="W166" s="366">
        <f>COUNT(RawMaterials[[#This Row],[Lab Quantity 1]:[Lab Quantity 4]])</f>
        <v>0</v>
      </c>
      <c r="X1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6" s="367" t="e">
        <f>RawMaterials[[#This Row],[Lab Price 1]]/RawMaterials[[#This Row],[Lab Q Model Units 1]]</f>
        <v>#N/A</v>
      </c>
      <c r="AC166" s="367" t="e">
        <f>RawMaterials[[#This Row],[Lab Price 2]]/RawMaterials[[#This Row],[Lab Q Model Units 2]]</f>
        <v>#N/A</v>
      </c>
      <c r="AD166" s="367" t="e">
        <f>RawMaterials[[#This Row],[Lab Price 3]]/RawMaterials[[#This Row],[Lab Q Model Units 3]]</f>
        <v>#N/A</v>
      </c>
      <c r="AE166" s="367" t="e">
        <f>RawMaterials[[#This Row],[Lab Price 4]]/RawMaterials[[#This Row],[Lab Q Model Units 4]]</f>
        <v>#N/A</v>
      </c>
      <c r="AF166" s="367" t="str">
        <f ca="1">IF(RawMaterials[[#This Row],[Lab Quote Count]]&gt;1,SLOPE(LOG(INDIRECT("RawMaterials[@[Lab Unit P 1]:[Lab Unit P "&amp;RawMaterials[[#This Row],[Lab Quote Count]]&amp;"]]")),LOG(INDIRECT("RawMaterials[@[Lab Q Model Units 1]:[Lab Q Model Units "&amp;RawMaterials[[#This Row],[Lab Quote Count]]&amp;"]]"))),"")</f>
        <v/>
      </c>
      <c r="AG166" s="367" t="str">
        <f ca="1">IF(RawMaterials[[#This Row],[Lab Quote Count]]&gt;1,INTERCEPT(LOG(INDIRECT("RawMaterials[@[Lab Unit P 1]:[Lab Unit P "&amp;RawMaterials[[#This Row],[Lab Quote Count]]&amp;"]]")),LOG(INDIRECT("RawMaterials[@[Lab Q Model Units 1]:[Lab Q Model Units "&amp;RawMaterials[[#This Row],[Lab Quote Count]]&amp;"]]"))),"")</f>
        <v/>
      </c>
      <c r="AH166" s="368" t="str">
        <f>IF(RawMaterials[[#This Row],[Material Type]]="Metal Precursor","D13",IF(RawMaterials[[#This Row],[Material Type]]="Ligand","D13","D12"))</f>
        <v>D12</v>
      </c>
      <c r="AI166" s="369" t="str">
        <f ca="1">IF(RawMaterials[[#This Row],[Lab Quote Count]]&gt;1,10^RawMaterials[[#This Row],[Lab Log-Log Intercept]]*INDIRECT(RawMaterials[[#This Row],[Basis Cell]])^RawMaterials[[#This Row],[Lab Log-Log Slope]],"&gt;&gt;&gt; Enter 2 or more lab quotes &lt;&lt;&lt;")</f>
        <v>&gt;&gt;&gt; Enter 2 or more lab quotes &lt;&lt;&lt;</v>
      </c>
      <c r="AJ1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0.38043751638634482</v>
      </c>
      <c r="AL166" s="372">
        <f>IF(ISTEXT(RawMaterials[[#This Row],[Unit price in quote year]]),"Check calcs",RawMaterials[[#This Row],[Unit price in quote year]]/VLOOKUP(RawMaterials[[#This Row],[Quote Year]],ChemPPI[],14,FALSE)*VLOOKUP(BasisYear,ChemPPI[],14,FALSE))</f>
        <v>0.44527234892149442</v>
      </c>
      <c r="AM166" s="373" t="str">
        <f t="shared" si="2"/>
        <v>$/lb (2016)</v>
      </c>
    </row>
    <row r="167" spans="1:39">
      <c r="A167" s="263" t="s">
        <v>1272</v>
      </c>
      <c r="B167" s="264"/>
      <c r="C167" s="271"/>
      <c r="D167" s="365">
        <v>0.78900000000000003</v>
      </c>
      <c r="E167" s="264">
        <v>100</v>
      </c>
      <c r="F167" s="264"/>
      <c r="G167" s="271"/>
      <c r="H167" s="271"/>
      <c r="I167" s="268"/>
      <c r="J167" s="271"/>
      <c r="K167" s="271"/>
      <c r="L167" s="271"/>
      <c r="M167" s="271"/>
      <c r="N167" s="271"/>
      <c r="O167" s="271"/>
      <c r="P167" s="265">
        <v>2.6150000000000002</v>
      </c>
      <c r="Q167" s="264">
        <v>1</v>
      </c>
      <c r="R167" s="264" t="s">
        <v>85</v>
      </c>
      <c r="S167" s="264">
        <v>2008</v>
      </c>
      <c r="T167" s="266" t="s">
        <v>163</v>
      </c>
      <c r="U167" s="267">
        <v>42653</v>
      </c>
      <c r="V167" s="269"/>
      <c r="W167" s="366">
        <f>COUNT(RawMaterials[[#This Row],[Lab Quantity 1]:[Lab Quantity 4]])</f>
        <v>0</v>
      </c>
      <c r="X1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7" s="367" t="e">
        <f>RawMaterials[[#This Row],[Lab Price 1]]/RawMaterials[[#This Row],[Lab Q Model Units 1]]</f>
        <v>#N/A</v>
      </c>
      <c r="AC167" s="367" t="e">
        <f>RawMaterials[[#This Row],[Lab Price 2]]/RawMaterials[[#This Row],[Lab Q Model Units 2]]</f>
        <v>#N/A</v>
      </c>
      <c r="AD167" s="367" t="e">
        <f>RawMaterials[[#This Row],[Lab Price 3]]/RawMaterials[[#This Row],[Lab Q Model Units 3]]</f>
        <v>#N/A</v>
      </c>
      <c r="AE167" s="367" t="e">
        <f>RawMaterials[[#This Row],[Lab Price 4]]/RawMaterials[[#This Row],[Lab Q Model Units 4]]</f>
        <v>#N/A</v>
      </c>
      <c r="AF167" s="367" t="str">
        <f ca="1">IF(RawMaterials[[#This Row],[Lab Quote Count]]&gt;1,SLOPE(LOG(INDIRECT("RawMaterials[@[Lab Unit P 1]:[Lab Unit P "&amp;RawMaterials[[#This Row],[Lab Quote Count]]&amp;"]]")),LOG(INDIRECT("RawMaterials[@[Lab Q Model Units 1]:[Lab Q Model Units "&amp;RawMaterials[[#This Row],[Lab Quote Count]]&amp;"]]"))),"")</f>
        <v/>
      </c>
      <c r="AG167" s="367" t="str">
        <f ca="1">IF(RawMaterials[[#This Row],[Lab Quote Count]]&gt;1,INTERCEPT(LOG(INDIRECT("RawMaterials[@[Lab Unit P 1]:[Lab Unit P "&amp;RawMaterials[[#This Row],[Lab Quote Count]]&amp;"]]")),LOG(INDIRECT("RawMaterials[@[Lab Q Model Units 1]:[Lab Q Model Units "&amp;RawMaterials[[#This Row],[Lab Quote Count]]&amp;"]]"))),"")</f>
        <v/>
      </c>
      <c r="AH167" s="368" t="str">
        <f>IF(RawMaterials[[#This Row],[Material Type]]="Metal Precursor","D13",IF(RawMaterials[[#This Row],[Material Type]]="Ligand","D13","D12"))</f>
        <v>D12</v>
      </c>
      <c r="AI167" s="369" t="str">
        <f ca="1">IF(RawMaterials[[#This Row],[Lab Quote Count]]&gt;1,10^RawMaterials[[#This Row],[Lab Log-Log Intercept]]*INDIRECT(RawMaterials[[#This Row],[Basis Cell]])^RawMaterials[[#This Row],[Lab Log-Log Slope]],"&gt;&gt;&gt; Enter 2 or more lab quotes &lt;&lt;&lt;")</f>
        <v>&gt;&gt;&gt; Enter 2 or more lab quotes &lt;&lt;&lt;</v>
      </c>
      <c r="AJ1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0.39714335542925822</v>
      </c>
      <c r="AL167" s="372">
        <f>IF(ISTEXT(RawMaterials[[#This Row],[Unit price in quote year]]),"Check calcs",RawMaterials[[#This Row],[Unit price in quote year]]/VLOOKUP(RawMaterials[[#This Row],[Quote Year]],ChemPPI[],14,FALSE)*VLOOKUP(BasisYear,ChemPPI[],14,FALSE))</f>
        <v>0.4648252265188455</v>
      </c>
      <c r="AM167" s="373" t="str">
        <f t="shared" si="2"/>
        <v>$/lb (2016)</v>
      </c>
    </row>
    <row r="168" spans="1:39">
      <c r="A168" s="263" t="s">
        <v>1273</v>
      </c>
      <c r="B168" s="264"/>
      <c r="C168" s="271"/>
      <c r="D168" s="365">
        <v>0.78900000000000003</v>
      </c>
      <c r="E168" s="264">
        <v>100</v>
      </c>
      <c r="F168" s="264"/>
      <c r="G168" s="271"/>
      <c r="H168" s="271"/>
      <c r="I168" s="268"/>
      <c r="J168" s="271"/>
      <c r="K168" s="271"/>
      <c r="L168" s="271"/>
      <c r="M168" s="271"/>
      <c r="N168" s="271"/>
      <c r="O168" s="271"/>
      <c r="P168" s="265">
        <v>2.605</v>
      </c>
      <c r="Q168" s="264">
        <v>1</v>
      </c>
      <c r="R168" s="264" t="s">
        <v>85</v>
      </c>
      <c r="S168" s="264">
        <v>2008</v>
      </c>
      <c r="T168" s="266" t="s">
        <v>163</v>
      </c>
      <c r="U168" s="267">
        <v>42653</v>
      </c>
      <c r="V168" s="269"/>
      <c r="W168" s="366">
        <f>COUNT(RawMaterials[[#This Row],[Lab Quantity 1]:[Lab Quantity 4]])</f>
        <v>0</v>
      </c>
      <c r="X1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8" s="367" t="e">
        <f>RawMaterials[[#This Row],[Lab Price 1]]/RawMaterials[[#This Row],[Lab Q Model Units 1]]</f>
        <v>#N/A</v>
      </c>
      <c r="AC168" s="367" t="e">
        <f>RawMaterials[[#This Row],[Lab Price 2]]/RawMaterials[[#This Row],[Lab Q Model Units 2]]</f>
        <v>#N/A</v>
      </c>
      <c r="AD168" s="367" t="e">
        <f>RawMaterials[[#This Row],[Lab Price 3]]/RawMaterials[[#This Row],[Lab Q Model Units 3]]</f>
        <v>#N/A</v>
      </c>
      <c r="AE168" s="367" t="e">
        <f>RawMaterials[[#This Row],[Lab Price 4]]/RawMaterials[[#This Row],[Lab Q Model Units 4]]</f>
        <v>#N/A</v>
      </c>
      <c r="AF168" s="367" t="str">
        <f ca="1">IF(RawMaterials[[#This Row],[Lab Quote Count]]&gt;1,SLOPE(LOG(INDIRECT("RawMaterials[@[Lab Unit P 1]:[Lab Unit P "&amp;RawMaterials[[#This Row],[Lab Quote Count]]&amp;"]]")),LOG(INDIRECT("RawMaterials[@[Lab Q Model Units 1]:[Lab Q Model Units "&amp;RawMaterials[[#This Row],[Lab Quote Count]]&amp;"]]"))),"")</f>
        <v/>
      </c>
      <c r="AG168" s="367" t="str">
        <f ca="1">IF(RawMaterials[[#This Row],[Lab Quote Count]]&gt;1,INTERCEPT(LOG(INDIRECT("RawMaterials[@[Lab Unit P 1]:[Lab Unit P "&amp;RawMaterials[[#This Row],[Lab Quote Count]]&amp;"]]")),LOG(INDIRECT("RawMaterials[@[Lab Q Model Units 1]:[Lab Q Model Units "&amp;RawMaterials[[#This Row],[Lab Quote Count]]&amp;"]]"))),"")</f>
        <v/>
      </c>
      <c r="AH168" s="368" t="str">
        <f>IF(RawMaterials[[#This Row],[Material Type]]="Metal Precursor","D13",IF(RawMaterials[[#This Row],[Material Type]]="Ligand","D13","D12"))</f>
        <v>D12</v>
      </c>
      <c r="AI168" s="369" t="str">
        <f ca="1">IF(RawMaterials[[#This Row],[Lab Quote Count]]&gt;1,10^RawMaterials[[#This Row],[Lab Log-Log Intercept]]*INDIRECT(RawMaterials[[#This Row],[Basis Cell]])^RawMaterials[[#This Row],[Lab Log-Log Slope]],"&gt;&gt;&gt; Enter 2 or more lab quotes &lt;&lt;&lt;")</f>
        <v>&gt;&gt;&gt; Enter 2 or more lab quotes &lt;&lt;&lt;</v>
      </c>
      <c r="AJ1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0.39562464278899334</v>
      </c>
      <c r="AL168" s="372">
        <f>IF(ISTEXT(RawMaterials[[#This Row],[Unit price in quote year]]),"Check calcs",RawMaterials[[#This Row],[Unit price in quote year]]/VLOOKUP(RawMaterials[[#This Row],[Quote Year]],ChemPPI[],14,FALSE)*VLOOKUP(BasisYear,ChemPPI[],14,FALSE))</f>
        <v>0.46304769219181358</v>
      </c>
      <c r="AM168" s="373" t="str">
        <f t="shared" si="2"/>
        <v>$/lb (2016)</v>
      </c>
    </row>
    <row r="169" spans="1:39">
      <c r="A169" s="263" t="s">
        <v>1274</v>
      </c>
      <c r="B169" s="264"/>
      <c r="C169" s="271"/>
      <c r="D169" s="365">
        <v>0.78900000000000003</v>
      </c>
      <c r="E169" s="264">
        <v>100</v>
      </c>
      <c r="F169" s="264"/>
      <c r="G169" s="271"/>
      <c r="H169" s="271"/>
      <c r="I169" s="268"/>
      <c r="J169" s="271"/>
      <c r="K169" s="271"/>
      <c r="L169" s="271"/>
      <c r="M169" s="271"/>
      <c r="N169" s="271"/>
      <c r="O169" s="271"/>
      <c r="P169" s="265">
        <v>3.4</v>
      </c>
      <c r="Q169" s="264">
        <v>1</v>
      </c>
      <c r="R169" s="264" t="s">
        <v>85</v>
      </c>
      <c r="S169" s="264">
        <v>2008</v>
      </c>
      <c r="T169" s="266" t="s">
        <v>163</v>
      </c>
      <c r="U169" s="267">
        <v>42653</v>
      </c>
      <c r="V169" s="269"/>
      <c r="W169" s="366">
        <f>COUNT(RawMaterials[[#This Row],[Lab Quantity 1]:[Lab Quantity 4]])</f>
        <v>0</v>
      </c>
      <c r="X1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69" s="367" t="e">
        <f>RawMaterials[[#This Row],[Lab Price 1]]/RawMaterials[[#This Row],[Lab Q Model Units 1]]</f>
        <v>#N/A</v>
      </c>
      <c r="AC169" s="367" t="e">
        <f>RawMaterials[[#This Row],[Lab Price 2]]/RawMaterials[[#This Row],[Lab Q Model Units 2]]</f>
        <v>#N/A</v>
      </c>
      <c r="AD169" s="367" t="e">
        <f>RawMaterials[[#This Row],[Lab Price 3]]/RawMaterials[[#This Row],[Lab Q Model Units 3]]</f>
        <v>#N/A</v>
      </c>
      <c r="AE169" s="367" t="e">
        <f>RawMaterials[[#This Row],[Lab Price 4]]/RawMaterials[[#This Row],[Lab Q Model Units 4]]</f>
        <v>#N/A</v>
      </c>
      <c r="AF169" s="367" t="str">
        <f ca="1">IF(RawMaterials[[#This Row],[Lab Quote Count]]&gt;1,SLOPE(LOG(INDIRECT("RawMaterials[@[Lab Unit P 1]:[Lab Unit P "&amp;RawMaterials[[#This Row],[Lab Quote Count]]&amp;"]]")),LOG(INDIRECT("RawMaterials[@[Lab Q Model Units 1]:[Lab Q Model Units "&amp;RawMaterials[[#This Row],[Lab Quote Count]]&amp;"]]"))),"")</f>
        <v/>
      </c>
      <c r="AG169" s="367" t="str">
        <f ca="1">IF(RawMaterials[[#This Row],[Lab Quote Count]]&gt;1,INTERCEPT(LOG(INDIRECT("RawMaterials[@[Lab Unit P 1]:[Lab Unit P "&amp;RawMaterials[[#This Row],[Lab Quote Count]]&amp;"]]")),LOG(INDIRECT("RawMaterials[@[Lab Q Model Units 1]:[Lab Q Model Units "&amp;RawMaterials[[#This Row],[Lab Quote Count]]&amp;"]]"))),"")</f>
        <v/>
      </c>
      <c r="AH169" s="368" t="str">
        <f>IF(RawMaterials[[#This Row],[Material Type]]="Metal Precursor","D13",IF(RawMaterials[[#This Row],[Material Type]]="Ligand","D13","D12"))</f>
        <v>D12</v>
      </c>
      <c r="AI169" s="369" t="str">
        <f ca="1">IF(RawMaterials[[#This Row],[Lab Quote Count]]&gt;1,10^RawMaterials[[#This Row],[Lab Log-Log Intercept]]*INDIRECT(RawMaterials[[#This Row],[Basis Cell]])^RawMaterials[[#This Row],[Lab Log-Log Slope]],"&gt;&gt;&gt; Enter 2 or more lab quotes &lt;&lt;&lt;")</f>
        <v>&gt;&gt;&gt; Enter 2 or more lab quotes &lt;&lt;&lt;</v>
      </c>
      <c r="AJ1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0.51636229769004893</v>
      </c>
      <c r="AL169" s="372">
        <f>IF(ISTEXT(RawMaterials[[#This Row],[Unit price in quote year]]),"Check calcs",RawMaterials[[#This Row],[Unit price in quote year]]/VLOOKUP(RawMaterials[[#This Row],[Quote Year]],ChemPPI[],14,FALSE)*VLOOKUP(BasisYear,ChemPPI[],14,FALSE))</f>
        <v>0.60436167119085082</v>
      </c>
      <c r="AM169" s="373" t="str">
        <f t="shared" si="2"/>
        <v>$/lb (2016)</v>
      </c>
    </row>
    <row r="170" spans="1:39">
      <c r="A170" s="263" t="s">
        <v>1275</v>
      </c>
      <c r="B170" s="264"/>
      <c r="C170" s="271"/>
      <c r="D170" s="365">
        <v>0.78900000000000003</v>
      </c>
      <c r="E170" s="264">
        <v>100</v>
      </c>
      <c r="F170" s="264"/>
      <c r="G170" s="271"/>
      <c r="H170" s="271"/>
      <c r="I170" s="268"/>
      <c r="J170" s="271"/>
      <c r="K170" s="271"/>
      <c r="L170" s="271"/>
      <c r="M170" s="271"/>
      <c r="N170" s="271"/>
      <c r="O170" s="271"/>
      <c r="P170" s="265">
        <v>3.5999999999999899</v>
      </c>
      <c r="Q170" s="264">
        <v>1</v>
      </c>
      <c r="R170" s="264" t="s">
        <v>85</v>
      </c>
      <c r="S170" s="264">
        <v>2008</v>
      </c>
      <c r="T170" s="266" t="s">
        <v>163</v>
      </c>
      <c r="U170" s="267">
        <v>42653</v>
      </c>
      <c r="V170" s="269"/>
      <c r="W170" s="366">
        <f>COUNT(RawMaterials[[#This Row],[Lab Quantity 1]:[Lab Quantity 4]])</f>
        <v>0</v>
      </c>
      <c r="X1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0" s="367" t="e">
        <f>RawMaterials[[#This Row],[Lab Price 1]]/RawMaterials[[#This Row],[Lab Q Model Units 1]]</f>
        <v>#N/A</v>
      </c>
      <c r="AC170" s="367" t="e">
        <f>RawMaterials[[#This Row],[Lab Price 2]]/RawMaterials[[#This Row],[Lab Q Model Units 2]]</f>
        <v>#N/A</v>
      </c>
      <c r="AD170" s="367" t="e">
        <f>RawMaterials[[#This Row],[Lab Price 3]]/RawMaterials[[#This Row],[Lab Q Model Units 3]]</f>
        <v>#N/A</v>
      </c>
      <c r="AE170" s="367" t="e">
        <f>RawMaterials[[#This Row],[Lab Price 4]]/RawMaterials[[#This Row],[Lab Q Model Units 4]]</f>
        <v>#N/A</v>
      </c>
      <c r="AF170" s="367" t="str">
        <f ca="1">IF(RawMaterials[[#This Row],[Lab Quote Count]]&gt;1,SLOPE(LOG(INDIRECT("RawMaterials[@[Lab Unit P 1]:[Lab Unit P "&amp;RawMaterials[[#This Row],[Lab Quote Count]]&amp;"]]")),LOG(INDIRECT("RawMaterials[@[Lab Q Model Units 1]:[Lab Q Model Units "&amp;RawMaterials[[#This Row],[Lab Quote Count]]&amp;"]]"))),"")</f>
        <v/>
      </c>
      <c r="AG170" s="367" t="str">
        <f ca="1">IF(RawMaterials[[#This Row],[Lab Quote Count]]&gt;1,INTERCEPT(LOG(INDIRECT("RawMaterials[@[Lab Unit P 1]:[Lab Unit P "&amp;RawMaterials[[#This Row],[Lab Quote Count]]&amp;"]]")),LOG(INDIRECT("RawMaterials[@[Lab Q Model Units 1]:[Lab Q Model Units "&amp;RawMaterials[[#This Row],[Lab Quote Count]]&amp;"]]"))),"")</f>
        <v/>
      </c>
      <c r="AH170" s="368" t="str">
        <f>IF(RawMaterials[[#This Row],[Material Type]]="Metal Precursor","D13",IF(RawMaterials[[#This Row],[Material Type]]="Ligand","D13","D12"))</f>
        <v>D12</v>
      </c>
      <c r="AI170" s="369" t="str">
        <f ca="1">IF(RawMaterials[[#This Row],[Lab Quote Count]]&gt;1,10^RawMaterials[[#This Row],[Lab Log-Log Intercept]]*INDIRECT(RawMaterials[[#This Row],[Basis Cell]])^RawMaterials[[#This Row],[Lab Log-Log Slope]],"&gt;&gt;&gt; Enter 2 or more lab quotes &lt;&lt;&lt;")</f>
        <v>&gt;&gt;&gt; Enter 2 or more lab quotes &lt;&lt;&lt;</v>
      </c>
      <c r="AJ1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6.5845241126432521</v>
      </c>
      <c r="AK1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0.54673655049534431</v>
      </c>
      <c r="AL170" s="372">
        <f>IF(ISTEXT(RawMaterials[[#This Row],[Unit price in quote year]]),"Check calcs",RawMaterials[[#This Row],[Unit price in quote year]]/VLOOKUP(RawMaterials[[#This Row],[Quote Year]],ChemPPI[],14,FALSE)*VLOOKUP(BasisYear,ChemPPI[],14,FALSE))</f>
        <v>0.63991235773148725</v>
      </c>
      <c r="AM170" s="373" t="str">
        <f t="shared" si="2"/>
        <v>$/lb (2016)</v>
      </c>
    </row>
    <row r="171" spans="1:39">
      <c r="A171" s="263" t="s">
        <v>1276</v>
      </c>
      <c r="B171" s="264"/>
      <c r="C171" s="271"/>
      <c r="D171" s="365"/>
      <c r="E171" s="264">
        <v>100</v>
      </c>
      <c r="F171" s="264"/>
      <c r="G171" s="271"/>
      <c r="H171" s="271"/>
      <c r="I171" s="268"/>
      <c r="J171" s="271"/>
      <c r="K171" s="271"/>
      <c r="L171" s="271"/>
      <c r="M171" s="271"/>
      <c r="N171" s="271"/>
      <c r="O171" s="271"/>
      <c r="P171" s="265">
        <v>3.25</v>
      </c>
      <c r="Q171" s="264">
        <v>1</v>
      </c>
      <c r="R171" s="264" t="s">
        <v>20</v>
      </c>
      <c r="S171" s="264">
        <v>2006</v>
      </c>
      <c r="T171" s="266" t="s">
        <v>163</v>
      </c>
      <c r="U171" s="267">
        <v>42653</v>
      </c>
      <c r="V171" s="269"/>
      <c r="W171" s="366">
        <f>COUNT(RawMaterials[[#This Row],[Lab Quantity 1]:[Lab Quantity 4]])</f>
        <v>0</v>
      </c>
      <c r="X1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1" s="367" t="e">
        <f>RawMaterials[[#This Row],[Lab Price 1]]/RawMaterials[[#This Row],[Lab Q Model Units 1]]</f>
        <v>#N/A</v>
      </c>
      <c r="AC171" s="367" t="e">
        <f>RawMaterials[[#This Row],[Lab Price 2]]/RawMaterials[[#This Row],[Lab Q Model Units 2]]</f>
        <v>#N/A</v>
      </c>
      <c r="AD171" s="367" t="e">
        <f>RawMaterials[[#This Row],[Lab Price 3]]/RawMaterials[[#This Row],[Lab Q Model Units 3]]</f>
        <v>#N/A</v>
      </c>
      <c r="AE171" s="367" t="e">
        <f>RawMaterials[[#This Row],[Lab Price 4]]/RawMaterials[[#This Row],[Lab Q Model Units 4]]</f>
        <v>#N/A</v>
      </c>
      <c r="AF171" s="367" t="str">
        <f ca="1">IF(RawMaterials[[#This Row],[Lab Quote Count]]&gt;1,SLOPE(LOG(INDIRECT("RawMaterials[@[Lab Unit P 1]:[Lab Unit P "&amp;RawMaterials[[#This Row],[Lab Quote Count]]&amp;"]]")),LOG(INDIRECT("RawMaterials[@[Lab Q Model Units 1]:[Lab Q Model Units "&amp;RawMaterials[[#This Row],[Lab Quote Count]]&amp;"]]"))),"")</f>
        <v/>
      </c>
      <c r="AG171" s="367" t="str">
        <f ca="1">IF(RawMaterials[[#This Row],[Lab Quote Count]]&gt;1,INTERCEPT(LOG(INDIRECT("RawMaterials[@[Lab Unit P 1]:[Lab Unit P "&amp;RawMaterials[[#This Row],[Lab Quote Count]]&amp;"]]")),LOG(INDIRECT("RawMaterials[@[Lab Q Model Units 1]:[Lab Q Model Units "&amp;RawMaterials[[#This Row],[Lab Quote Count]]&amp;"]]"))),"")</f>
        <v/>
      </c>
      <c r="AH171" s="368" t="str">
        <f>IF(RawMaterials[[#This Row],[Material Type]]="Metal Precursor","D13",IF(RawMaterials[[#This Row],[Material Type]]="Ligand","D13","D12"))</f>
        <v>D12</v>
      </c>
      <c r="AI171" s="369" t="str">
        <f ca="1">IF(RawMaterials[[#This Row],[Lab Quote Count]]&gt;1,10^RawMaterials[[#This Row],[Lab Log-Log Intercept]]*INDIRECT(RawMaterials[[#This Row],[Basis Cell]])^RawMaterials[[#This Row],[Lab Log-Log Slope]],"&gt;&gt;&gt; Enter 2 or more lab quotes &lt;&lt;&lt;")</f>
        <v>&gt;&gt;&gt; Enter 2 or more lab quotes &lt;&lt;&lt;</v>
      </c>
      <c r="AJ1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v>
      </c>
      <c r="AL171" s="372">
        <f>IF(ISTEXT(RawMaterials[[#This Row],[Unit price in quote year]]),"Check calcs",RawMaterials[[#This Row],[Unit price in quote year]]/VLOOKUP(RawMaterials[[#This Row],[Quote Year]],ChemPPI[],14,FALSE)*VLOOKUP(BasisYear,ChemPPI[],14,FALSE))</f>
        <v>4.4109502032520336</v>
      </c>
      <c r="AM171" s="373" t="str">
        <f t="shared" si="2"/>
        <v>$/lb (2016)</v>
      </c>
    </row>
    <row r="172" spans="1:39">
      <c r="A172" s="263" t="s">
        <v>1277</v>
      </c>
      <c r="B172" s="264"/>
      <c r="C172" s="271"/>
      <c r="D172" s="365"/>
      <c r="E172" s="264">
        <v>100</v>
      </c>
      <c r="F172" s="264"/>
      <c r="G172" s="271"/>
      <c r="H172" s="271"/>
      <c r="I172" s="268"/>
      <c r="J172" s="271"/>
      <c r="K172" s="271"/>
      <c r="L172" s="271"/>
      <c r="M172" s="271"/>
      <c r="N172" s="271"/>
      <c r="O172" s="271"/>
      <c r="P172" s="265">
        <v>22.25</v>
      </c>
      <c r="Q172" s="264">
        <v>1</v>
      </c>
      <c r="R172" s="264" t="s">
        <v>71</v>
      </c>
      <c r="S172" s="264">
        <v>2006</v>
      </c>
      <c r="T172" s="266" t="s">
        <v>163</v>
      </c>
      <c r="U172" s="267">
        <v>42653</v>
      </c>
      <c r="V172" s="269"/>
      <c r="W172" s="366">
        <f>COUNT(RawMaterials[[#This Row],[Lab Quantity 1]:[Lab Quantity 4]])</f>
        <v>0</v>
      </c>
      <c r="X1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2" s="367" t="e">
        <f>RawMaterials[[#This Row],[Lab Price 1]]/RawMaterials[[#This Row],[Lab Q Model Units 1]]</f>
        <v>#N/A</v>
      </c>
      <c r="AC172" s="367" t="e">
        <f>RawMaterials[[#This Row],[Lab Price 2]]/RawMaterials[[#This Row],[Lab Q Model Units 2]]</f>
        <v>#N/A</v>
      </c>
      <c r="AD172" s="367" t="e">
        <f>RawMaterials[[#This Row],[Lab Price 3]]/RawMaterials[[#This Row],[Lab Q Model Units 3]]</f>
        <v>#N/A</v>
      </c>
      <c r="AE172" s="367" t="e">
        <f>RawMaterials[[#This Row],[Lab Price 4]]/RawMaterials[[#This Row],[Lab Q Model Units 4]]</f>
        <v>#N/A</v>
      </c>
      <c r="AF172" s="367" t="str">
        <f ca="1">IF(RawMaterials[[#This Row],[Lab Quote Count]]&gt;1,SLOPE(LOG(INDIRECT("RawMaterials[@[Lab Unit P 1]:[Lab Unit P "&amp;RawMaterials[[#This Row],[Lab Quote Count]]&amp;"]]")),LOG(INDIRECT("RawMaterials[@[Lab Q Model Units 1]:[Lab Q Model Units "&amp;RawMaterials[[#This Row],[Lab Quote Count]]&amp;"]]"))),"")</f>
        <v/>
      </c>
      <c r="AG172" s="367" t="str">
        <f ca="1">IF(RawMaterials[[#This Row],[Lab Quote Count]]&gt;1,INTERCEPT(LOG(INDIRECT("RawMaterials[@[Lab Unit P 1]:[Lab Unit P "&amp;RawMaterials[[#This Row],[Lab Quote Count]]&amp;"]]")),LOG(INDIRECT("RawMaterials[@[Lab Q Model Units 1]:[Lab Q Model Units "&amp;RawMaterials[[#This Row],[Lab Quote Count]]&amp;"]]"))),"")</f>
        <v/>
      </c>
      <c r="AH172" s="368" t="str">
        <f>IF(RawMaterials[[#This Row],[Material Type]]="Metal Precursor","D13",IF(RawMaterials[[#This Row],[Material Type]]="Ligand","D13","D12"))</f>
        <v>D12</v>
      </c>
      <c r="AI172" s="369" t="str">
        <f ca="1">IF(RawMaterials[[#This Row],[Lab Quote Count]]&gt;1,10^RawMaterials[[#This Row],[Lab Log-Log Intercept]]*INDIRECT(RawMaterials[[#This Row],[Basis Cell]])^RawMaterials[[#This Row],[Lab Log-Log Slope]],"&gt;&gt;&gt; Enter 2 or more lab quotes &lt;&lt;&lt;")</f>
        <v>&gt;&gt;&gt; Enter 2 or more lab quotes &lt;&lt;&lt;</v>
      </c>
      <c r="AJ1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10.0924302325</v>
      </c>
      <c r="AL172" s="372">
        <f>IF(ISTEXT(RawMaterials[[#This Row],[Unit price in quote year]]),"Check calcs",RawMaterials[[#This Row],[Unit price in quote year]]/VLOOKUP(RawMaterials[[#This Row],[Quote Year]],ChemPPI[],14,FALSE)*VLOOKUP(BasisYear,ChemPPI[],14,FALSE))</f>
        <v>13.697602210877797</v>
      </c>
      <c r="AM172" s="373" t="str">
        <f t="shared" si="2"/>
        <v>$/lb (2016)</v>
      </c>
    </row>
    <row r="173" spans="1:39">
      <c r="A173" s="263" t="s">
        <v>1278</v>
      </c>
      <c r="B173" s="264"/>
      <c r="C173" s="271"/>
      <c r="D173" s="365"/>
      <c r="E173" s="264">
        <v>100</v>
      </c>
      <c r="F173" s="264"/>
      <c r="G173" s="271"/>
      <c r="H173" s="271"/>
      <c r="I173" s="268"/>
      <c r="J173" s="271"/>
      <c r="K173" s="271"/>
      <c r="L173" s="271"/>
      <c r="M173" s="271"/>
      <c r="N173" s="271"/>
      <c r="O173" s="271"/>
      <c r="P173" s="265">
        <v>1.2050000000000001</v>
      </c>
      <c r="Q173" s="264">
        <v>1</v>
      </c>
      <c r="R173" s="264" t="s">
        <v>20</v>
      </c>
      <c r="S173" s="264">
        <v>2006</v>
      </c>
      <c r="T173" s="266" t="s">
        <v>163</v>
      </c>
      <c r="U173" s="267">
        <v>42653</v>
      </c>
      <c r="V173" s="269"/>
      <c r="W173" s="366">
        <f>COUNT(RawMaterials[[#This Row],[Lab Quantity 1]:[Lab Quantity 4]])</f>
        <v>0</v>
      </c>
      <c r="X1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3" s="367" t="e">
        <f>RawMaterials[[#This Row],[Lab Price 1]]/RawMaterials[[#This Row],[Lab Q Model Units 1]]</f>
        <v>#N/A</v>
      </c>
      <c r="AC173" s="367" t="e">
        <f>RawMaterials[[#This Row],[Lab Price 2]]/RawMaterials[[#This Row],[Lab Q Model Units 2]]</f>
        <v>#N/A</v>
      </c>
      <c r="AD173" s="367" t="e">
        <f>RawMaterials[[#This Row],[Lab Price 3]]/RawMaterials[[#This Row],[Lab Q Model Units 3]]</f>
        <v>#N/A</v>
      </c>
      <c r="AE173" s="367" t="e">
        <f>RawMaterials[[#This Row],[Lab Price 4]]/RawMaterials[[#This Row],[Lab Q Model Units 4]]</f>
        <v>#N/A</v>
      </c>
      <c r="AF173" s="367" t="str">
        <f ca="1">IF(RawMaterials[[#This Row],[Lab Quote Count]]&gt;1,SLOPE(LOG(INDIRECT("RawMaterials[@[Lab Unit P 1]:[Lab Unit P "&amp;RawMaterials[[#This Row],[Lab Quote Count]]&amp;"]]")),LOG(INDIRECT("RawMaterials[@[Lab Q Model Units 1]:[Lab Q Model Units "&amp;RawMaterials[[#This Row],[Lab Quote Count]]&amp;"]]"))),"")</f>
        <v/>
      </c>
      <c r="AG173" s="367" t="str">
        <f ca="1">IF(RawMaterials[[#This Row],[Lab Quote Count]]&gt;1,INTERCEPT(LOG(INDIRECT("RawMaterials[@[Lab Unit P 1]:[Lab Unit P "&amp;RawMaterials[[#This Row],[Lab Quote Count]]&amp;"]]")),LOG(INDIRECT("RawMaterials[@[Lab Q Model Units 1]:[Lab Q Model Units "&amp;RawMaterials[[#This Row],[Lab Quote Count]]&amp;"]]"))),"")</f>
        <v/>
      </c>
      <c r="AH173" s="368" t="str">
        <f>IF(RawMaterials[[#This Row],[Material Type]]="Metal Precursor","D13",IF(RawMaterials[[#This Row],[Material Type]]="Ligand","D13","D12"))</f>
        <v>D12</v>
      </c>
      <c r="AI173" s="369" t="str">
        <f ca="1">IF(RawMaterials[[#This Row],[Lab Quote Count]]&gt;1,10^RawMaterials[[#This Row],[Lab Log-Log Intercept]]*INDIRECT(RawMaterials[[#This Row],[Basis Cell]])^RawMaterials[[#This Row],[Lab Log-Log Slope]],"&gt;&gt;&gt; Enter 2 or more lab quotes &lt;&lt;&lt;")</f>
        <v>&gt;&gt;&gt; Enter 2 or more lab quotes &lt;&lt;&lt;</v>
      </c>
      <c r="AJ1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173" s="372">
        <f>IF(ISTEXT(RawMaterials[[#This Row],[Unit price in quote year]]),"Check calcs",RawMaterials[[#This Row],[Unit price in quote year]]/VLOOKUP(RawMaterials[[#This Row],[Quote Year]],ChemPPI[],14,FALSE)*VLOOKUP(BasisYear,ChemPPI[],14,FALSE))</f>
        <v>1.6354446138211385</v>
      </c>
      <c r="AM173" s="373" t="str">
        <f t="shared" si="2"/>
        <v>$/lb (2016)</v>
      </c>
    </row>
    <row r="174" spans="1:39">
      <c r="A174" s="263" t="s">
        <v>1279</v>
      </c>
      <c r="B174" s="264"/>
      <c r="C174" s="271"/>
      <c r="D174" s="365"/>
      <c r="E174" s="264">
        <v>100</v>
      </c>
      <c r="F174" s="264"/>
      <c r="G174" s="271"/>
      <c r="H174" s="271"/>
      <c r="I174" s="268"/>
      <c r="J174" s="271"/>
      <c r="K174" s="271"/>
      <c r="L174" s="271"/>
      <c r="M174" s="271"/>
      <c r="N174" s="271"/>
      <c r="O174" s="271"/>
      <c r="P174" s="265">
        <v>1.29</v>
      </c>
      <c r="Q174" s="264">
        <v>1</v>
      </c>
      <c r="R174" s="264" t="s">
        <v>20</v>
      </c>
      <c r="S174" s="264">
        <v>2006</v>
      </c>
      <c r="T174" s="266" t="s">
        <v>163</v>
      </c>
      <c r="U174" s="267">
        <v>42653</v>
      </c>
      <c r="V174" s="269"/>
      <c r="W174" s="366">
        <f>COUNT(RawMaterials[[#This Row],[Lab Quantity 1]:[Lab Quantity 4]])</f>
        <v>0</v>
      </c>
      <c r="X1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4" s="367" t="e">
        <f>RawMaterials[[#This Row],[Lab Price 1]]/RawMaterials[[#This Row],[Lab Q Model Units 1]]</f>
        <v>#N/A</v>
      </c>
      <c r="AC174" s="367" t="e">
        <f>RawMaterials[[#This Row],[Lab Price 2]]/RawMaterials[[#This Row],[Lab Q Model Units 2]]</f>
        <v>#N/A</v>
      </c>
      <c r="AD174" s="367" t="e">
        <f>RawMaterials[[#This Row],[Lab Price 3]]/RawMaterials[[#This Row],[Lab Q Model Units 3]]</f>
        <v>#N/A</v>
      </c>
      <c r="AE174" s="367" t="e">
        <f>RawMaterials[[#This Row],[Lab Price 4]]/RawMaterials[[#This Row],[Lab Q Model Units 4]]</f>
        <v>#N/A</v>
      </c>
      <c r="AF174" s="367" t="str">
        <f ca="1">IF(RawMaterials[[#This Row],[Lab Quote Count]]&gt;1,SLOPE(LOG(INDIRECT("RawMaterials[@[Lab Unit P 1]:[Lab Unit P "&amp;RawMaterials[[#This Row],[Lab Quote Count]]&amp;"]]")),LOG(INDIRECT("RawMaterials[@[Lab Q Model Units 1]:[Lab Q Model Units "&amp;RawMaterials[[#This Row],[Lab Quote Count]]&amp;"]]"))),"")</f>
        <v/>
      </c>
      <c r="AG174" s="367" t="str">
        <f ca="1">IF(RawMaterials[[#This Row],[Lab Quote Count]]&gt;1,INTERCEPT(LOG(INDIRECT("RawMaterials[@[Lab Unit P 1]:[Lab Unit P "&amp;RawMaterials[[#This Row],[Lab Quote Count]]&amp;"]]")),LOG(INDIRECT("RawMaterials[@[Lab Q Model Units 1]:[Lab Q Model Units "&amp;RawMaterials[[#This Row],[Lab Quote Count]]&amp;"]]"))),"")</f>
        <v/>
      </c>
      <c r="AH174" s="368" t="str">
        <f>IF(RawMaterials[[#This Row],[Material Type]]="Metal Precursor","D13",IF(RawMaterials[[#This Row],[Material Type]]="Ligand","D13","D12"))</f>
        <v>D12</v>
      </c>
      <c r="AI174" s="369" t="str">
        <f ca="1">IF(RawMaterials[[#This Row],[Lab Quote Count]]&gt;1,10^RawMaterials[[#This Row],[Lab Log-Log Intercept]]*INDIRECT(RawMaterials[[#This Row],[Basis Cell]])^RawMaterials[[#This Row],[Lab Log-Log Slope]],"&gt;&gt;&gt; Enter 2 or more lab quotes &lt;&lt;&lt;")</f>
        <v>&gt;&gt;&gt; Enter 2 or more lab quotes &lt;&lt;&lt;</v>
      </c>
      <c r="AJ1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1.29</v>
      </c>
      <c r="AL174" s="372">
        <f>IF(ISTEXT(RawMaterials[[#This Row],[Unit price in quote year]]),"Check calcs",RawMaterials[[#This Row],[Unit price in quote year]]/VLOOKUP(RawMaterials[[#This Row],[Quote Year]],ChemPPI[],14,FALSE)*VLOOKUP(BasisYear,ChemPPI[],14,FALSE))</f>
        <v>1.7508079268292687</v>
      </c>
      <c r="AM174" s="373" t="str">
        <f t="shared" si="2"/>
        <v>$/lb (2016)</v>
      </c>
    </row>
    <row r="175" spans="1:39">
      <c r="A175" s="263" t="s">
        <v>1280</v>
      </c>
      <c r="B175" s="264"/>
      <c r="C175" s="271"/>
      <c r="D175" s="365"/>
      <c r="E175" s="264">
        <v>100</v>
      </c>
      <c r="F175" s="264"/>
      <c r="G175" s="271"/>
      <c r="H175" s="271"/>
      <c r="I175" s="268"/>
      <c r="J175" s="271"/>
      <c r="K175" s="271"/>
      <c r="L175" s="271"/>
      <c r="M175" s="271"/>
      <c r="N175" s="271"/>
      <c r="O175" s="271"/>
      <c r="P175" s="265">
        <v>1.21</v>
      </c>
      <c r="Q175" s="264">
        <v>1</v>
      </c>
      <c r="R175" s="264" t="s">
        <v>20</v>
      </c>
      <c r="S175" s="264">
        <v>2006</v>
      </c>
      <c r="T175" s="266" t="s">
        <v>163</v>
      </c>
      <c r="U175" s="267">
        <v>42653</v>
      </c>
      <c r="V175" s="269"/>
      <c r="W175" s="366">
        <f>COUNT(RawMaterials[[#This Row],[Lab Quantity 1]:[Lab Quantity 4]])</f>
        <v>0</v>
      </c>
      <c r="X1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5" s="367" t="e">
        <f>RawMaterials[[#This Row],[Lab Price 1]]/RawMaterials[[#This Row],[Lab Q Model Units 1]]</f>
        <v>#N/A</v>
      </c>
      <c r="AC175" s="367" t="e">
        <f>RawMaterials[[#This Row],[Lab Price 2]]/RawMaterials[[#This Row],[Lab Q Model Units 2]]</f>
        <v>#N/A</v>
      </c>
      <c r="AD175" s="367" t="e">
        <f>RawMaterials[[#This Row],[Lab Price 3]]/RawMaterials[[#This Row],[Lab Q Model Units 3]]</f>
        <v>#N/A</v>
      </c>
      <c r="AE175" s="367" t="e">
        <f>RawMaterials[[#This Row],[Lab Price 4]]/RawMaterials[[#This Row],[Lab Q Model Units 4]]</f>
        <v>#N/A</v>
      </c>
      <c r="AF175" s="367" t="str">
        <f ca="1">IF(RawMaterials[[#This Row],[Lab Quote Count]]&gt;1,SLOPE(LOG(INDIRECT("RawMaterials[@[Lab Unit P 1]:[Lab Unit P "&amp;RawMaterials[[#This Row],[Lab Quote Count]]&amp;"]]")),LOG(INDIRECT("RawMaterials[@[Lab Q Model Units 1]:[Lab Q Model Units "&amp;RawMaterials[[#This Row],[Lab Quote Count]]&amp;"]]"))),"")</f>
        <v/>
      </c>
      <c r="AG175" s="367" t="str">
        <f ca="1">IF(RawMaterials[[#This Row],[Lab Quote Count]]&gt;1,INTERCEPT(LOG(INDIRECT("RawMaterials[@[Lab Unit P 1]:[Lab Unit P "&amp;RawMaterials[[#This Row],[Lab Quote Count]]&amp;"]]")),LOG(INDIRECT("RawMaterials[@[Lab Q Model Units 1]:[Lab Q Model Units "&amp;RawMaterials[[#This Row],[Lab Quote Count]]&amp;"]]"))),"")</f>
        <v/>
      </c>
      <c r="AH175" s="368" t="str">
        <f>IF(RawMaterials[[#This Row],[Material Type]]="Metal Precursor","D13",IF(RawMaterials[[#This Row],[Material Type]]="Ligand","D13","D12"))</f>
        <v>D12</v>
      </c>
      <c r="AI175" s="369" t="str">
        <f ca="1">IF(RawMaterials[[#This Row],[Lab Quote Count]]&gt;1,10^RawMaterials[[#This Row],[Lab Log-Log Intercept]]*INDIRECT(RawMaterials[[#This Row],[Basis Cell]])^RawMaterials[[#This Row],[Lab Log-Log Slope]],"&gt;&gt;&gt; Enter 2 or more lab quotes &lt;&lt;&lt;")</f>
        <v>&gt;&gt;&gt; Enter 2 or more lab quotes &lt;&lt;&lt;</v>
      </c>
      <c r="AJ1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v>
      </c>
      <c r="AL175" s="372">
        <f>IF(ISTEXT(RawMaterials[[#This Row],[Unit price in quote year]]),"Check calcs",RawMaterials[[#This Row],[Unit price in quote year]]/VLOOKUP(RawMaterials[[#This Row],[Quote Year]],ChemPPI[],14,FALSE)*VLOOKUP(BasisYear,ChemPPI[],14,FALSE))</f>
        <v>1.6422306910569107</v>
      </c>
      <c r="AM175" s="373" t="str">
        <f t="shared" si="2"/>
        <v>$/lb (2016)</v>
      </c>
    </row>
    <row r="176" spans="1:39">
      <c r="A176" s="263" t="s">
        <v>1281</v>
      </c>
      <c r="B176" s="264"/>
      <c r="C176" s="271"/>
      <c r="D176" s="365"/>
      <c r="E176" s="264">
        <v>100</v>
      </c>
      <c r="F176" s="264"/>
      <c r="G176" s="271"/>
      <c r="H176" s="271"/>
      <c r="I176" s="268"/>
      <c r="J176" s="271"/>
      <c r="K176" s="271"/>
      <c r="L176" s="271"/>
      <c r="M176" s="271"/>
      <c r="N176" s="271"/>
      <c r="O176" s="271"/>
      <c r="P176" s="265">
        <v>1.2149999999999901</v>
      </c>
      <c r="Q176" s="264">
        <v>1</v>
      </c>
      <c r="R176" s="264" t="s">
        <v>20</v>
      </c>
      <c r="S176" s="264">
        <v>2006</v>
      </c>
      <c r="T176" s="266" t="s">
        <v>163</v>
      </c>
      <c r="U176" s="267">
        <v>42653</v>
      </c>
      <c r="V176" s="269"/>
      <c r="W176" s="366">
        <f>COUNT(RawMaterials[[#This Row],[Lab Quantity 1]:[Lab Quantity 4]])</f>
        <v>0</v>
      </c>
      <c r="X1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6" s="367" t="e">
        <f>RawMaterials[[#This Row],[Lab Price 1]]/RawMaterials[[#This Row],[Lab Q Model Units 1]]</f>
        <v>#N/A</v>
      </c>
      <c r="AC176" s="367" t="e">
        <f>RawMaterials[[#This Row],[Lab Price 2]]/RawMaterials[[#This Row],[Lab Q Model Units 2]]</f>
        <v>#N/A</v>
      </c>
      <c r="AD176" s="367" t="e">
        <f>RawMaterials[[#This Row],[Lab Price 3]]/RawMaterials[[#This Row],[Lab Q Model Units 3]]</f>
        <v>#N/A</v>
      </c>
      <c r="AE176" s="367" t="e">
        <f>RawMaterials[[#This Row],[Lab Price 4]]/RawMaterials[[#This Row],[Lab Q Model Units 4]]</f>
        <v>#N/A</v>
      </c>
      <c r="AF176" s="367" t="str">
        <f ca="1">IF(RawMaterials[[#This Row],[Lab Quote Count]]&gt;1,SLOPE(LOG(INDIRECT("RawMaterials[@[Lab Unit P 1]:[Lab Unit P "&amp;RawMaterials[[#This Row],[Lab Quote Count]]&amp;"]]")),LOG(INDIRECT("RawMaterials[@[Lab Q Model Units 1]:[Lab Q Model Units "&amp;RawMaterials[[#This Row],[Lab Quote Count]]&amp;"]]"))),"")</f>
        <v/>
      </c>
      <c r="AG176" s="367" t="str">
        <f ca="1">IF(RawMaterials[[#This Row],[Lab Quote Count]]&gt;1,INTERCEPT(LOG(INDIRECT("RawMaterials[@[Lab Unit P 1]:[Lab Unit P "&amp;RawMaterials[[#This Row],[Lab Quote Count]]&amp;"]]")),LOG(INDIRECT("RawMaterials[@[Lab Q Model Units 1]:[Lab Q Model Units "&amp;RawMaterials[[#This Row],[Lab Quote Count]]&amp;"]]"))),"")</f>
        <v/>
      </c>
      <c r="AH176" s="368" t="str">
        <f>IF(RawMaterials[[#This Row],[Material Type]]="Metal Precursor","D13",IF(RawMaterials[[#This Row],[Material Type]]="Ligand","D13","D12"))</f>
        <v>D12</v>
      </c>
      <c r="AI176" s="369" t="str">
        <f ca="1">IF(RawMaterials[[#This Row],[Lab Quote Count]]&gt;1,10^RawMaterials[[#This Row],[Lab Log-Log Intercept]]*INDIRECT(RawMaterials[[#This Row],[Basis Cell]])^RawMaterials[[#This Row],[Lab Log-Log Slope]],"&gt;&gt;&gt; Enter 2 or more lab quotes &lt;&lt;&lt;")</f>
        <v>&gt;&gt;&gt; Enter 2 or more lab quotes &lt;&lt;&lt;</v>
      </c>
      <c r="AJ1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1.2149999999999901</v>
      </c>
      <c r="AL176" s="372">
        <f>IF(ISTEXT(RawMaterials[[#This Row],[Unit price in quote year]]),"Check calcs",RawMaterials[[#This Row],[Unit price in quote year]]/VLOOKUP(RawMaterials[[#This Row],[Quote Year]],ChemPPI[],14,FALSE)*VLOOKUP(BasisYear,ChemPPI[],14,FALSE))</f>
        <v>1.6490167682926697</v>
      </c>
      <c r="AM176" s="373" t="str">
        <f t="shared" si="2"/>
        <v>$/lb (2016)</v>
      </c>
    </row>
    <row r="177" spans="1:39">
      <c r="A177" s="263" t="s">
        <v>1282</v>
      </c>
      <c r="B177" s="264"/>
      <c r="C177" s="271"/>
      <c r="D177" s="365"/>
      <c r="E177" s="264">
        <v>100</v>
      </c>
      <c r="F177" s="264"/>
      <c r="G177" s="271"/>
      <c r="H177" s="271"/>
      <c r="I177" s="268"/>
      <c r="J177" s="271"/>
      <c r="K177" s="271"/>
      <c r="L177" s="271"/>
      <c r="M177" s="271"/>
      <c r="N177" s="271"/>
      <c r="O177" s="271"/>
      <c r="P177" s="265">
        <v>1.355</v>
      </c>
      <c r="Q177" s="264">
        <v>1</v>
      </c>
      <c r="R177" s="264" t="s">
        <v>20</v>
      </c>
      <c r="S177" s="264">
        <v>2006</v>
      </c>
      <c r="T177" s="266" t="s">
        <v>163</v>
      </c>
      <c r="U177" s="267">
        <v>42653</v>
      </c>
      <c r="V177" s="269"/>
      <c r="W177" s="366">
        <f>COUNT(RawMaterials[[#This Row],[Lab Quantity 1]:[Lab Quantity 4]])</f>
        <v>0</v>
      </c>
      <c r="X1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7" s="367" t="e">
        <f>RawMaterials[[#This Row],[Lab Price 1]]/RawMaterials[[#This Row],[Lab Q Model Units 1]]</f>
        <v>#N/A</v>
      </c>
      <c r="AC177" s="367" t="e">
        <f>RawMaterials[[#This Row],[Lab Price 2]]/RawMaterials[[#This Row],[Lab Q Model Units 2]]</f>
        <v>#N/A</v>
      </c>
      <c r="AD177" s="367" t="e">
        <f>RawMaterials[[#This Row],[Lab Price 3]]/RawMaterials[[#This Row],[Lab Q Model Units 3]]</f>
        <v>#N/A</v>
      </c>
      <c r="AE177" s="367" t="e">
        <f>RawMaterials[[#This Row],[Lab Price 4]]/RawMaterials[[#This Row],[Lab Q Model Units 4]]</f>
        <v>#N/A</v>
      </c>
      <c r="AF177" s="367" t="str">
        <f ca="1">IF(RawMaterials[[#This Row],[Lab Quote Count]]&gt;1,SLOPE(LOG(INDIRECT("RawMaterials[@[Lab Unit P 1]:[Lab Unit P "&amp;RawMaterials[[#This Row],[Lab Quote Count]]&amp;"]]")),LOG(INDIRECT("RawMaterials[@[Lab Q Model Units 1]:[Lab Q Model Units "&amp;RawMaterials[[#This Row],[Lab Quote Count]]&amp;"]]"))),"")</f>
        <v/>
      </c>
      <c r="AG177" s="367" t="str">
        <f ca="1">IF(RawMaterials[[#This Row],[Lab Quote Count]]&gt;1,INTERCEPT(LOG(INDIRECT("RawMaterials[@[Lab Unit P 1]:[Lab Unit P "&amp;RawMaterials[[#This Row],[Lab Quote Count]]&amp;"]]")),LOG(INDIRECT("RawMaterials[@[Lab Q Model Units 1]:[Lab Q Model Units "&amp;RawMaterials[[#This Row],[Lab Quote Count]]&amp;"]]"))),"")</f>
        <v/>
      </c>
      <c r="AH177" s="368" t="str">
        <f>IF(RawMaterials[[#This Row],[Material Type]]="Metal Precursor","D13",IF(RawMaterials[[#This Row],[Material Type]]="Ligand","D13","D12"))</f>
        <v>D12</v>
      </c>
      <c r="AI177" s="369" t="str">
        <f ca="1">IF(RawMaterials[[#This Row],[Lab Quote Count]]&gt;1,10^RawMaterials[[#This Row],[Lab Log-Log Intercept]]*INDIRECT(RawMaterials[[#This Row],[Basis Cell]])^RawMaterials[[#This Row],[Lab Log-Log Slope]],"&gt;&gt;&gt; Enter 2 or more lab quotes &lt;&lt;&lt;")</f>
        <v>&gt;&gt;&gt; Enter 2 or more lab quotes &lt;&lt;&lt;</v>
      </c>
      <c r="AJ1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1.355</v>
      </c>
      <c r="AL177" s="372">
        <f>IF(ISTEXT(RawMaterials[[#This Row],[Unit price in quote year]]),"Check calcs",RawMaterials[[#This Row],[Unit price in quote year]]/VLOOKUP(RawMaterials[[#This Row],[Quote Year]],ChemPPI[],14,FALSE)*VLOOKUP(BasisYear,ChemPPI[],14,FALSE))</f>
        <v>1.8390269308943092</v>
      </c>
      <c r="AM177" s="373" t="str">
        <f t="shared" si="2"/>
        <v>$/lb (2016)</v>
      </c>
    </row>
    <row r="178" spans="1:39">
      <c r="A178" s="263" t="s">
        <v>1283</v>
      </c>
      <c r="B178" s="264"/>
      <c r="C178" s="271"/>
      <c r="D178" s="365"/>
      <c r="E178" s="264">
        <v>100</v>
      </c>
      <c r="F178" s="264"/>
      <c r="G178" s="271"/>
      <c r="H178" s="271"/>
      <c r="I178" s="268"/>
      <c r="J178" s="271"/>
      <c r="K178" s="271"/>
      <c r="L178" s="271"/>
      <c r="M178" s="271"/>
      <c r="N178" s="271"/>
      <c r="O178" s="271"/>
      <c r="P178" s="265">
        <v>1.2749999999999999</v>
      </c>
      <c r="Q178" s="264">
        <v>1</v>
      </c>
      <c r="R178" s="264" t="s">
        <v>20</v>
      </c>
      <c r="S178" s="264">
        <v>2006</v>
      </c>
      <c r="T178" s="266" t="s">
        <v>163</v>
      </c>
      <c r="U178" s="267">
        <v>42653</v>
      </c>
      <c r="V178" s="269"/>
      <c r="W178" s="366">
        <f>COUNT(RawMaterials[[#This Row],[Lab Quantity 1]:[Lab Quantity 4]])</f>
        <v>0</v>
      </c>
      <c r="X1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8" s="367" t="e">
        <f>RawMaterials[[#This Row],[Lab Price 1]]/RawMaterials[[#This Row],[Lab Q Model Units 1]]</f>
        <v>#N/A</v>
      </c>
      <c r="AC178" s="367" t="e">
        <f>RawMaterials[[#This Row],[Lab Price 2]]/RawMaterials[[#This Row],[Lab Q Model Units 2]]</f>
        <v>#N/A</v>
      </c>
      <c r="AD178" s="367" t="e">
        <f>RawMaterials[[#This Row],[Lab Price 3]]/RawMaterials[[#This Row],[Lab Q Model Units 3]]</f>
        <v>#N/A</v>
      </c>
      <c r="AE178" s="367" t="e">
        <f>RawMaterials[[#This Row],[Lab Price 4]]/RawMaterials[[#This Row],[Lab Q Model Units 4]]</f>
        <v>#N/A</v>
      </c>
      <c r="AF178" s="367" t="str">
        <f ca="1">IF(RawMaterials[[#This Row],[Lab Quote Count]]&gt;1,SLOPE(LOG(INDIRECT("RawMaterials[@[Lab Unit P 1]:[Lab Unit P "&amp;RawMaterials[[#This Row],[Lab Quote Count]]&amp;"]]")),LOG(INDIRECT("RawMaterials[@[Lab Q Model Units 1]:[Lab Q Model Units "&amp;RawMaterials[[#This Row],[Lab Quote Count]]&amp;"]]"))),"")</f>
        <v/>
      </c>
      <c r="AG178" s="367" t="str">
        <f ca="1">IF(RawMaterials[[#This Row],[Lab Quote Count]]&gt;1,INTERCEPT(LOG(INDIRECT("RawMaterials[@[Lab Unit P 1]:[Lab Unit P "&amp;RawMaterials[[#This Row],[Lab Quote Count]]&amp;"]]")),LOG(INDIRECT("RawMaterials[@[Lab Q Model Units 1]:[Lab Q Model Units "&amp;RawMaterials[[#This Row],[Lab Quote Count]]&amp;"]]"))),"")</f>
        <v/>
      </c>
      <c r="AH178" s="368" t="str">
        <f>IF(RawMaterials[[#This Row],[Material Type]]="Metal Precursor","D13",IF(RawMaterials[[#This Row],[Material Type]]="Ligand","D13","D12"))</f>
        <v>D12</v>
      </c>
      <c r="AI178" s="369" t="str">
        <f ca="1">IF(RawMaterials[[#This Row],[Lab Quote Count]]&gt;1,10^RawMaterials[[#This Row],[Lab Log-Log Intercept]]*INDIRECT(RawMaterials[[#This Row],[Basis Cell]])^RawMaterials[[#This Row],[Lab Log-Log Slope]],"&gt;&gt;&gt; Enter 2 or more lab quotes &lt;&lt;&lt;")</f>
        <v>&gt;&gt;&gt; Enter 2 or more lab quotes &lt;&lt;&lt;</v>
      </c>
      <c r="AJ1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1.2749999999999999</v>
      </c>
      <c r="AL178" s="372">
        <f>IF(ISTEXT(RawMaterials[[#This Row],[Unit price in quote year]]),"Check calcs",RawMaterials[[#This Row],[Unit price in quote year]]/VLOOKUP(RawMaterials[[#This Row],[Quote Year]],ChemPPI[],14,FALSE)*VLOOKUP(BasisYear,ChemPPI[],14,FALSE))</f>
        <v>1.7304496951219512</v>
      </c>
      <c r="AM178" s="373" t="str">
        <f t="shared" si="2"/>
        <v>$/lb (2016)</v>
      </c>
    </row>
    <row r="179" spans="1:39">
      <c r="A179" s="263" t="s">
        <v>1284</v>
      </c>
      <c r="B179" s="264"/>
      <c r="C179" s="271"/>
      <c r="D179" s="365"/>
      <c r="E179" s="264">
        <v>100</v>
      </c>
      <c r="F179" s="264"/>
      <c r="G179" s="271"/>
      <c r="H179" s="271"/>
      <c r="I179" s="268"/>
      <c r="J179" s="271"/>
      <c r="K179" s="271"/>
      <c r="L179" s="271"/>
      <c r="M179" s="271"/>
      <c r="N179" s="271"/>
      <c r="O179" s="271"/>
      <c r="P179" s="265">
        <v>0.57499999999999996</v>
      </c>
      <c r="Q179" s="264">
        <v>1</v>
      </c>
      <c r="R179" s="264" t="s">
        <v>20</v>
      </c>
      <c r="S179" s="264">
        <v>2008</v>
      </c>
      <c r="T179" s="266" t="s">
        <v>163</v>
      </c>
      <c r="U179" s="267">
        <v>42653</v>
      </c>
      <c r="V179" s="269"/>
      <c r="W179" s="366">
        <f>COUNT(RawMaterials[[#This Row],[Lab Quantity 1]:[Lab Quantity 4]])</f>
        <v>0</v>
      </c>
      <c r="X1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79" s="367" t="e">
        <f>RawMaterials[[#This Row],[Lab Price 1]]/RawMaterials[[#This Row],[Lab Q Model Units 1]]</f>
        <v>#N/A</v>
      </c>
      <c r="AC179" s="367" t="e">
        <f>RawMaterials[[#This Row],[Lab Price 2]]/RawMaterials[[#This Row],[Lab Q Model Units 2]]</f>
        <v>#N/A</v>
      </c>
      <c r="AD179" s="367" t="e">
        <f>RawMaterials[[#This Row],[Lab Price 3]]/RawMaterials[[#This Row],[Lab Q Model Units 3]]</f>
        <v>#N/A</v>
      </c>
      <c r="AE179" s="367" t="e">
        <f>RawMaterials[[#This Row],[Lab Price 4]]/RawMaterials[[#This Row],[Lab Q Model Units 4]]</f>
        <v>#N/A</v>
      </c>
      <c r="AF179" s="367" t="str">
        <f ca="1">IF(RawMaterials[[#This Row],[Lab Quote Count]]&gt;1,SLOPE(LOG(INDIRECT("RawMaterials[@[Lab Unit P 1]:[Lab Unit P "&amp;RawMaterials[[#This Row],[Lab Quote Count]]&amp;"]]")),LOG(INDIRECT("RawMaterials[@[Lab Q Model Units 1]:[Lab Q Model Units "&amp;RawMaterials[[#This Row],[Lab Quote Count]]&amp;"]]"))),"")</f>
        <v/>
      </c>
      <c r="AG179" s="367" t="str">
        <f ca="1">IF(RawMaterials[[#This Row],[Lab Quote Count]]&gt;1,INTERCEPT(LOG(INDIRECT("RawMaterials[@[Lab Unit P 1]:[Lab Unit P "&amp;RawMaterials[[#This Row],[Lab Quote Count]]&amp;"]]")),LOG(INDIRECT("RawMaterials[@[Lab Q Model Units 1]:[Lab Q Model Units "&amp;RawMaterials[[#This Row],[Lab Quote Count]]&amp;"]]"))),"")</f>
        <v/>
      </c>
      <c r="AH179" s="368" t="str">
        <f>IF(RawMaterials[[#This Row],[Material Type]]="Metal Precursor","D13",IF(RawMaterials[[#This Row],[Material Type]]="Ligand","D13","D12"))</f>
        <v>D12</v>
      </c>
      <c r="AI179" s="369" t="str">
        <f ca="1">IF(RawMaterials[[#This Row],[Lab Quote Count]]&gt;1,10^RawMaterials[[#This Row],[Lab Log-Log Intercept]]*INDIRECT(RawMaterials[[#This Row],[Basis Cell]])^RawMaterials[[#This Row],[Lab Log-Log Slope]],"&gt;&gt;&gt; Enter 2 or more lab quotes &lt;&lt;&lt;")</f>
        <v>&gt;&gt;&gt; Enter 2 or more lab quotes &lt;&lt;&lt;</v>
      </c>
      <c r="AJ1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179" s="372">
        <f>IF(ISTEXT(RawMaterials[[#This Row],[Unit price in quote year]]),"Check calcs",RawMaterials[[#This Row],[Unit price in quote year]]/VLOOKUP(RawMaterials[[#This Row],[Quote Year]],ChemPPI[],14,FALSE)*VLOOKUP(BasisYear,ChemPPI[],14,FALSE))</f>
        <v>0.67299251415008221</v>
      </c>
      <c r="AM179" s="373" t="str">
        <f t="shared" si="2"/>
        <v>$/lb (2016)</v>
      </c>
    </row>
    <row r="180" spans="1:39">
      <c r="A180" s="263" t="s">
        <v>1285</v>
      </c>
      <c r="B180" s="264"/>
      <c r="C180" s="271"/>
      <c r="D180" s="365"/>
      <c r="E180" s="264">
        <v>100</v>
      </c>
      <c r="F180" s="264"/>
      <c r="G180" s="271"/>
      <c r="H180" s="271"/>
      <c r="I180" s="268"/>
      <c r="J180" s="271"/>
      <c r="K180" s="271"/>
      <c r="L180" s="271"/>
      <c r="M180" s="271"/>
      <c r="N180" s="271"/>
      <c r="O180" s="271"/>
      <c r="P180" s="265">
        <v>390</v>
      </c>
      <c r="Q180" s="264">
        <v>1</v>
      </c>
      <c r="R180" s="264" t="s">
        <v>1123</v>
      </c>
      <c r="S180" s="264">
        <v>2008</v>
      </c>
      <c r="T180" s="266" t="s">
        <v>163</v>
      </c>
      <c r="U180" s="267">
        <v>42653</v>
      </c>
      <c r="V180" s="269"/>
      <c r="W180" s="366">
        <f>COUNT(RawMaterials[[#This Row],[Lab Quantity 1]:[Lab Quantity 4]])</f>
        <v>0</v>
      </c>
      <c r="X1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0" s="367" t="e">
        <f>RawMaterials[[#This Row],[Lab Price 1]]/RawMaterials[[#This Row],[Lab Q Model Units 1]]</f>
        <v>#N/A</v>
      </c>
      <c r="AC180" s="367" t="e">
        <f>RawMaterials[[#This Row],[Lab Price 2]]/RawMaterials[[#This Row],[Lab Q Model Units 2]]</f>
        <v>#N/A</v>
      </c>
      <c r="AD180" s="367" t="e">
        <f>RawMaterials[[#This Row],[Lab Price 3]]/RawMaterials[[#This Row],[Lab Q Model Units 3]]</f>
        <v>#N/A</v>
      </c>
      <c r="AE180" s="367" t="e">
        <f>RawMaterials[[#This Row],[Lab Price 4]]/RawMaterials[[#This Row],[Lab Q Model Units 4]]</f>
        <v>#N/A</v>
      </c>
      <c r="AF180" s="367" t="str">
        <f ca="1">IF(RawMaterials[[#This Row],[Lab Quote Count]]&gt;1,SLOPE(LOG(INDIRECT("RawMaterials[@[Lab Unit P 1]:[Lab Unit P "&amp;RawMaterials[[#This Row],[Lab Quote Count]]&amp;"]]")),LOG(INDIRECT("RawMaterials[@[Lab Q Model Units 1]:[Lab Q Model Units "&amp;RawMaterials[[#This Row],[Lab Quote Count]]&amp;"]]"))),"")</f>
        <v/>
      </c>
      <c r="AG180" s="367" t="str">
        <f ca="1">IF(RawMaterials[[#This Row],[Lab Quote Count]]&gt;1,INTERCEPT(LOG(INDIRECT("RawMaterials[@[Lab Unit P 1]:[Lab Unit P "&amp;RawMaterials[[#This Row],[Lab Quote Count]]&amp;"]]")),LOG(INDIRECT("RawMaterials[@[Lab Q Model Units 1]:[Lab Q Model Units "&amp;RawMaterials[[#This Row],[Lab Quote Count]]&amp;"]]"))),"")</f>
        <v/>
      </c>
      <c r="AH180" s="368" t="str">
        <f>IF(RawMaterials[[#This Row],[Material Type]]="Metal Precursor","D13",IF(RawMaterials[[#This Row],[Material Type]]="Ligand","D13","D12"))</f>
        <v>D12</v>
      </c>
      <c r="AI180" s="369" t="str">
        <f ca="1">IF(RawMaterials[[#This Row],[Lab Quote Count]]&gt;1,10^RawMaterials[[#This Row],[Lab Log-Log Intercept]]*INDIRECT(RawMaterials[[#This Row],[Basis Cell]])^RawMaterials[[#This Row],[Lab Log-Log Slope]],"&gt;&gt;&gt; Enter 2 or more lab quotes &lt;&lt;&lt;")</f>
        <v>&gt;&gt;&gt; Enter 2 or more lab quotes &lt;&lt;&lt;</v>
      </c>
      <c r="AJ1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1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0.17690102429999999</v>
      </c>
      <c r="AL180" s="372">
        <f>IF(ISTEXT(RawMaterials[[#This Row],[Unit price in quote year]]),"Check calcs",RawMaterials[[#This Row],[Unit price in quote year]]/VLOOKUP(RawMaterials[[#This Row],[Quote Year]],ChemPPI[],14,FALSE)*VLOOKUP(BasisYear,ChemPPI[],14,FALSE))</f>
        <v>0.20704880886849003</v>
      </c>
      <c r="AM180" s="373" t="str">
        <f t="shared" si="2"/>
        <v>$/lb (2016)</v>
      </c>
    </row>
    <row r="181" spans="1:39">
      <c r="A181" s="263" t="s">
        <v>1286</v>
      </c>
      <c r="B181" s="264"/>
      <c r="C181" s="271"/>
      <c r="D181" s="365"/>
      <c r="E181" s="264">
        <v>100</v>
      </c>
      <c r="F181" s="264"/>
      <c r="G181" s="271"/>
      <c r="H181" s="271"/>
      <c r="I181" s="268"/>
      <c r="J181" s="271"/>
      <c r="K181" s="271"/>
      <c r="L181" s="271"/>
      <c r="M181" s="271"/>
      <c r="N181" s="271"/>
      <c r="O181" s="271"/>
      <c r="P181" s="265">
        <v>0.72499999999999998</v>
      </c>
      <c r="Q181" s="264">
        <v>1</v>
      </c>
      <c r="R181" s="264" t="s">
        <v>20</v>
      </c>
      <c r="S181" s="264">
        <v>2006</v>
      </c>
      <c r="T181" s="266" t="s">
        <v>163</v>
      </c>
      <c r="U181" s="267">
        <v>42653</v>
      </c>
      <c r="V181" s="269"/>
      <c r="W181" s="366">
        <f>COUNT(RawMaterials[[#This Row],[Lab Quantity 1]:[Lab Quantity 4]])</f>
        <v>0</v>
      </c>
      <c r="X1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1" s="367" t="e">
        <f>RawMaterials[[#This Row],[Lab Price 1]]/RawMaterials[[#This Row],[Lab Q Model Units 1]]</f>
        <v>#N/A</v>
      </c>
      <c r="AC181" s="367" t="e">
        <f>RawMaterials[[#This Row],[Lab Price 2]]/RawMaterials[[#This Row],[Lab Q Model Units 2]]</f>
        <v>#N/A</v>
      </c>
      <c r="AD181" s="367" t="e">
        <f>RawMaterials[[#This Row],[Lab Price 3]]/RawMaterials[[#This Row],[Lab Q Model Units 3]]</f>
        <v>#N/A</v>
      </c>
      <c r="AE181" s="367" t="e">
        <f>RawMaterials[[#This Row],[Lab Price 4]]/RawMaterials[[#This Row],[Lab Q Model Units 4]]</f>
        <v>#N/A</v>
      </c>
      <c r="AF181" s="367" t="str">
        <f ca="1">IF(RawMaterials[[#This Row],[Lab Quote Count]]&gt;1,SLOPE(LOG(INDIRECT("RawMaterials[@[Lab Unit P 1]:[Lab Unit P "&amp;RawMaterials[[#This Row],[Lab Quote Count]]&amp;"]]")),LOG(INDIRECT("RawMaterials[@[Lab Q Model Units 1]:[Lab Q Model Units "&amp;RawMaterials[[#This Row],[Lab Quote Count]]&amp;"]]"))),"")</f>
        <v/>
      </c>
      <c r="AG181" s="367" t="str">
        <f ca="1">IF(RawMaterials[[#This Row],[Lab Quote Count]]&gt;1,INTERCEPT(LOG(INDIRECT("RawMaterials[@[Lab Unit P 1]:[Lab Unit P "&amp;RawMaterials[[#This Row],[Lab Quote Count]]&amp;"]]")),LOG(INDIRECT("RawMaterials[@[Lab Q Model Units 1]:[Lab Q Model Units "&amp;RawMaterials[[#This Row],[Lab Quote Count]]&amp;"]]"))),"")</f>
        <v/>
      </c>
      <c r="AH181" s="368" t="str">
        <f>IF(RawMaterials[[#This Row],[Material Type]]="Metal Precursor","D13",IF(RawMaterials[[#This Row],[Material Type]]="Ligand","D13","D12"))</f>
        <v>D12</v>
      </c>
      <c r="AI181" s="369" t="str">
        <f ca="1">IF(RawMaterials[[#This Row],[Lab Quote Count]]&gt;1,10^RawMaterials[[#This Row],[Lab Log-Log Intercept]]*INDIRECT(RawMaterials[[#This Row],[Basis Cell]])^RawMaterials[[#This Row],[Lab Log-Log Slope]],"&gt;&gt;&gt; Enter 2 or more lab quotes &lt;&lt;&lt;")</f>
        <v>&gt;&gt;&gt; Enter 2 or more lab quotes &lt;&lt;&lt;</v>
      </c>
      <c r="AJ1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181" s="372">
        <f>IF(ISTEXT(RawMaterials[[#This Row],[Unit price in quote year]]),"Check calcs",RawMaterials[[#This Row],[Unit price in quote year]]/VLOOKUP(RawMaterials[[#This Row],[Quote Year]],ChemPPI[],14,FALSE)*VLOOKUP(BasisYear,ChemPPI[],14,FALSE))</f>
        <v>0.98398119918699201</v>
      </c>
      <c r="AM181" s="373" t="str">
        <f t="shared" si="2"/>
        <v>$/lb (2016)</v>
      </c>
    </row>
    <row r="182" spans="1:39">
      <c r="A182" s="263" t="s">
        <v>1287</v>
      </c>
      <c r="B182" s="264"/>
      <c r="C182" s="271"/>
      <c r="D182" s="365"/>
      <c r="E182" s="264">
        <v>100</v>
      </c>
      <c r="F182" s="264"/>
      <c r="G182" s="271"/>
      <c r="H182" s="271"/>
      <c r="I182" s="268"/>
      <c r="J182" s="271"/>
      <c r="K182" s="271"/>
      <c r="L182" s="271"/>
      <c r="M182" s="271"/>
      <c r="N182" s="271"/>
      <c r="O182" s="271"/>
      <c r="P182" s="265">
        <v>0.65</v>
      </c>
      <c r="Q182" s="264">
        <v>1</v>
      </c>
      <c r="R182" s="264" t="s">
        <v>20</v>
      </c>
      <c r="S182" s="264">
        <v>2006</v>
      </c>
      <c r="T182" s="266" t="s">
        <v>163</v>
      </c>
      <c r="U182" s="267">
        <v>42653</v>
      </c>
      <c r="V182" s="269"/>
      <c r="W182" s="366">
        <f>COUNT(RawMaterials[[#This Row],[Lab Quantity 1]:[Lab Quantity 4]])</f>
        <v>0</v>
      </c>
      <c r="X1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2" s="367" t="e">
        <f>RawMaterials[[#This Row],[Lab Price 1]]/RawMaterials[[#This Row],[Lab Q Model Units 1]]</f>
        <v>#N/A</v>
      </c>
      <c r="AC182" s="367" t="e">
        <f>RawMaterials[[#This Row],[Lab Price 2]]/RawMaterials[[#This Row],[Lab Q Model Units 2]]</f>
        <v>#N/A</v>
      </c>
      <c r="AD182" s="367" t="e">
        <f>RawMaterials[[#This Row],[Lab Price 3]]/RawMaterials[[#This Row],[Lab Q Model Units 3]]</f>
        <v>#N/A</v>
      </c>
      <c r="AE182" s="367" t="e">
        <f>RawMaterials[[#This Row],[Lab Price 4]]/RawMaterials[[#This Row],[Lab Q Model Units 4]]</f>
        <v>#N/A</v>
      </c>
      <c r="AF182" s="367" t="str">
        <f ca="1">IF(RawMaterials[[#This Row],[Lab Quote Count]]&gt;1,SLOPE(LOG(INDIRECT("RawMaterials[@[Lab Unit P 1]:[Lab Unit P "&amp;RawMaterials[[#This Row],[Lab Quote Count]]&amp;"]]")),LOG(INDIRECT("RawMaterials[@[Lab Q Model Units 1]:[Lab Q Model Units "&amp;RawMaterials[[#This Row],[Lab Quote Count]]&amp;"]]"))),"")</f>
        <v/>
      </c>
      <c r="AG182" s="367" t="str">
        <f ca="1">IF(RawMaterials[[#This Row],[Lab Quote Count]]&gt;1,INTERCEPT(LOG(INDIRECT("RawMaterials[@[Lab Unit P 1]:[Lab Unit P "&amp;RawMaterials[[#This Row],[Lab Quote Count]]&amp;"]]")),LOG(INDIRECT("RawMaterials[@[Lab Q Model Units 1]:[Lab Q Model Units "&amp;RawMaterials[[#This Row],[Lab Quote Count]]&amp;"]]"))),"")</f>
        <v/>
      </c>
      <c r="AH182" s="368" t="str">
        <f>IF(RawMaterials[[#This Row],[Material Type]]="Metal Precursor","D13",IF(RawMaterials[[#This Row],[Material Type]]="Ligand","D13","D12"))</f>
        <v>D12</v>
      </c>
      <c r="AI182" s="369" t="str">
        <f ca="1">IF(RawMaterials[[#This Row],[Lab Quote Count]]&gt;1,10^RawMaterials[[#This Row],[Lab Log-Log Intercept]]*INDIRECT(RawMaterials[[#This Row],[Basis Cell]])^RawMaterials[[#This Row],[Lab Log-Log Slope]],"&gt;&gt;&gt; Enter 2 or more lab quotes &lt;&lt;&lt;")</f>
        <v>&gt;&gt;&gt; Enter 2 or more lab quotes &lt;&lt;&lt;</v>
      </c>
      <c r="AJ1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2" s="372">
        <f>IF(ISTEXT(RawMaterials[[#This Row],[Unit price in quote year]]),"Check calcs",RawMaterials[[#This Row],[Unit price in quote year]]/VLOOKUP(RawMaterials[[#This Row],[Quote Year]],ChemPPI[],14,FALSE)*VLOOKUP(BasisYear,ChemPPI[],14,FALSE))</f>
        <v>0.88219004065040663</v>
      </c>
      <c r="AM182" s="373" t="str">
        <f t="shared" si="2"/>
        <v>$/lb (2016)</v>
      </c>
    </row>
    <row r="183" spans="1:39">
      <c r="A183" s="263" t="s">
        <v>1288</v>
      </c>
      <c r="B183" s="264"/>
      <c r="C183" s="271"/>
      <c r="D183" s="365"/>
      <c r="E183" s="264">
        <v>100</v>
      </c>
      <c r="F183" s="264"/>
      <c r="G183" s="271"/>
      <c r="H183" s="271"/>
      <c r="I183" s="268"/>
      <c r="J183" s="271"/>
      <c r="K183" s="271"/>
      <c r="L183" s="271"/>
      <c r="M183" s="271"/>
      <c r="N183" s="271"/>
      <c r="O183" s="271"/>
      <c r="P183" s="265">
        <v>0.65</v>
      </c>
      <c r="Q183" s="264">
        <v>1</v>
      </c>
      <c r="R183" s="264" t="s">
        <v>20</v>
      </c>
      <c r="S183" s="264">
        <v>2006</v>
      </c>
      <c r="T183" s="266" t="s">
        <v>163</v>
      </c>
      <c r="U183" s="267">
        <v>42653</v>
      </c>
      <c r="V183" s="269"/>
      <c r="W183" s="366">
        <f>COUNT(RawMaterials[[#This Row],[Lab Quantity 1]:[Lab Quantity 4]])</f>
        <v>0</v>
      </c>
      <c r="X1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3" s="367" t="e">
        <f>RawMaterials[[#This Row],[Lab Price 1]]/RawMaterials[[#This Row],[Lab Q Model Units 1]]</f>
        <v>#N/A</v>
      </c>
      <c r="AC183" s="367" t="e">
        <f>RawMaterials[[#This Row],[Lab Price 2]]/RawMaterials[[#This Row],[Lab Q Model Units 2]]</f>
        <v>#N/A</v>
      </c>
      <c r="AD183" s="367" t="e">
        <f>RawMaterials[[#This Row],[Lab Price 3]]/RawMaterials[[#This Row],[Lab Q Model Units 3]]</f>
        <v>#N/A</v>
      </c>
      <c r="AE183" s="367" t="e">
        <f>RawMaterials[[#This Row],[Lab Price 4]]/RawMaterials[[#This Row],[Lab Q Model Units 4]]</f>
        <v>#N/A</v>
      </c>
      <c r="AF183" s="367" t="str">
        <f ca="1">IF(RawMaterials[[#This Row],[Lab Quote Count]]&gt;1,SLOPE(LOG(INDIRECT("RawMaterials[@[Lab Unit P 1]:[Lab Unit P "&amp;RawMaterials[[#This Row],[Lab Quote Count]]&amp;"]]")),LOG(INDIRECT("RawMaterials[@[Lab Q Model Units 1]:[Lab Q Model Units "&amp;RawMaterials[[#This Row],[Lab Quote Count]]&amp;"]]"))),"")</f>
        <v/>
      </c>
      <c r="AG183" s="367" t="str">
        <f ca="1">IF(RawMaterials[[#This Row],[Lab Quote Count]]&gt;1,INTERCEPT(LOG(INDIRECT("RawMaterials[@[Lab Unit P 1]:[Lab Unit P "&amp;RawMaterials[[#This Row],[Lab Quote Count]]&amp;"]]")),LOG(INDIRECT("RawMaterials[@[Lab Q Model Units 1]:[Lab Q Model Units "&amp;RawMaterials[[#This Row],[Lab Quote Count]]&amp;"]]"))),"")</f>
        <v/>
      </c>
      <c r="AH183" s="368" t="str">
        <f>IF(RawMaterials[[#This Row],[Material Type]]="Metal Precursor","D13",IF(RawMaterials[[#This Row],[Material Type]]="Ligand","D13","D12"))</f>
        <v>D12</v>
      </c>
      <c r="AI183" s="369" t="str">
        <f ca="1">IF(RawMaterials[[#This Row],[Lab Quote Count]]&gt;1,10^RawMaterials[[#This Row],[Lab Log-Log Intercept]]*INDIRECT(RawMaterials[[#This Row],[Basis Cell]])^RawMaterials[[#This Row],[Lab Log-Log Slope]],"&gt;&gt;&gt; Enter 2 or more lab quotes &lt;&lt;&lt;")</f>
        <v>&gt;&gt;&gt; Enter 2 or more lab quotes &lt;&lt;&lt;</v>
      </c>
      <c r="AJ1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183" s="372">
        <f>IF(ISTEXT(RawMaterials[[#This Row],[Unit price in quote year]]),"Check calcs",RawMaterials[[#This Row],[Unit price in quote year]]/VLOOKUP(RawMaterials[[#This Row],[Quote Year]],ChemPPI[],14,FALSE)*VLOOKUP(BasisYear,ChemPPI[],14,FALSE))</f>
        <v>0.88219004065040663</v>
      </c>
      <c r="AM183" s="373" t="str">
        <f t="shared" si="2"/>
        <v>$/lb (2016)</v>
      </c>
    </row>
    <row r="184" spans="1:39">
      <c r="A184" s="263" t="s">
        <v>1289</v>
      </c>
      <c r="B184" s="264"/>
      <c r="C184" s="271"/>
      <c r="D184" s="365"/>
      <c r="E184" s="264">
        <v>100</v>
      </c>
      <c r="F184" s="264"/>
      <c r="G184" s="271"/>
      <c r="H184" s="271"/>
      <c r="I184" s="268"/>
      <c r="J184" s="271"/>
      <c r="K184" s="271"/>
      <c r="L184" s="271"/>
      <c r="M184" s="271"/>
      <c r="N184" s="271"/>
      <c r="O184" s="271"/>
      <c r="P184" s="265">
        <v>0.71</v>
      </c>
      <c r="Q184" s="264">
        <v>1</v>
      </c>
      <c r="R184" s="264" t="s">
        <v>20</v>
      </c>
      <c r="S184" s="264">
        <v>2006</v>
      </c>
      <c r="T184" s="266" t="s">
        <v>163</v>
      </c>
      <c r="U184" s="267">
        <v>42653</v>
      </c>
      <c r="V184" s="269"/>
      <c r="W184" s="366">
        <f>COUNT(RawMaterials[[#This Row],[Lab Quantity 1]:[Lab Quantity 4]])</f>
        <v>0</v>
      </c>
      <c r="X1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4" s="367" t="e">
        <f>RawMaterials[[#This Row],[Lab Price 1]]/RawMaterials[[#This Row],[Lab Q Model Units 1]]</f>
        <v>#N/A</v>
      </c>
      <c r="AC184" s="367" t="e">
        <f>RawMaterials[[#This Row],[Lab Price 2]]/RawMaterials[[#This Row],[Lab Q Model Units 2]]</f>
        <v>#N/A</v>
      </c>
      <c r="AD184" s="367" t="e">
        <f>RawMaterials[[#This Row],[Lab Price 3]]/RawMaterials[[#This Row],[Lab Q Model Units 3]]</f>
        <v>#N/A</v>
      </c>
      <c r="AE184" s="367" t="e">
        <f>RawMaterials[[#This Row],[Lab Price 4]]/RawMaterials[[#This Row],[Lab Q Model Units 4]]</f>
        <v>#N/A</v>
      </c>
      <c r="AF184" s="367" t="str">
        <f ca="1">IF(RawMaterials[[#This Row],[Lab Quote Count]]&gt;1,SLOPE(LOG(INDIRECT("RawMaterials[@[Lab Unit P 1]:[Lab Unit P "&amp;RawMaterials[[#This Row],[Lab Quote Count]]&amp;"]]")),LOG(INDIRECT("RawMaterials[@[Lab Q Model Units 1]:[Lab Q Model Units "&amp;RawMaterials[[#This Row],[Lab Quote Count]]&amp;"]]"))),"")</f>
        <v/>
      </c>
      <c r="AG184" s="367" t="str">
        <f ca="1">IF(RawMaterials[[#This Row],[Lab Quote Count]]&gt;1,INTERCEPT(LOG(INDIRECT("RawMaterials[@[Lab Unit P 1]:[Lab Unit P "&amp;RawMaterials[[#This Row],[Lab Quote Count]]&amp;"]]")),LOG(INDIRECT("RawMaterials[@[Lab Q Model Units 1]:[Lab Q Model Units "&amp;RawMaterials[[#This Row],[Lab Quote Count]]&amp;"]]"))),"")</f>
        <v/>
      </c>
      <c r="AH184" s="368" t="str">
        <f>IF(RawMaterials[[#This Row],[Material Type]]="Metal Precursor","D13",IF(RawMaterials[[#This Row],[Material Type]]="Ligand","D13","D12"))</f>
        <v>D12</v>
      </c>
      <c r="AI184" s="369" t="str">
        <f ca="1">IF(RawMaterials[[#This Row],[Lab Quote Count]]&gt;1,10^RawMaterials[[#This Row],[Lab Log-Log Intercept]]*INDIRECT(RawMaterials[[#This Row],[Basis Cell]])^RawMaterials[[#This Row],[Lab Log-Log Slope]],"&gt;&gt;&gt; Enter 2 or more lab quotes &lt;&lt;&lt;")</f>
        <v>&gt;&gt;&gt; Enter 2 or more lab quotes &lt;&lt;&lt;</v>
      </c>
      <c r="AJ1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184" s="372">
        <f>IF(ISTEXT(RawMaterials[[#This Row],[Unit price in quote year]]),"Check calcs",RawMaterials[[#This Row],[Unit price in quote year]]/VLOOKUP(RawMaterials[[#This Row],[Quote Year]],ChemPPI[],14,FALSE)*VLOOKUP(BasisYear,ChemPPI[],14,FALSE))</f>
        <v>0.96362296747967491</v>
      </c>
      <c r="AM184" s="373" t="str">
        <f t="shared" si="2"/>
        <v>$/lb (2016)</v>
      </c>
    </row>
    <row r="185" spans="1:39">
      <c r="A185" s="263" t="s">
        <v>1290</v>
      </c>
      <c r="B185" s="264"/>
      <c r="C185" s="271"/>
      <c r="D185" s="365"/>
      <c r="E185" s="264">
        <v>100</v>
      </c>
      <c r="F185" s="264"/>
      <c r="G185" s="271"/>
      <c r="H185" s="271"/>
      <c r="I185" s="268"/>
      <c r="J185" s="271"/>
      <c r="K185" s="271"/>
      <c r="L185" s="271"/>
      <c r="M185" s="271"/>
      <c r="N185" s="271"/>
      <c r="O185" s="271"/>
      <c r="P185" s="265">
        <v>0.76500000000000001</v>
      </c>
      <c r="Q185" s="264">
        <v>1</v>
      </c>
      <c r="R185" s="264" t="s">
        <v>20</v>
      </c>
      <c r="S185" s="264">
        <v>2008</v>
      </c>
      <c r="T185" s="266" t="s">
        <v>163</v>
      </c>
      <c r="U185" s="267">
        <v>42653</v>
      </c>
      <c r="V185" s="269"/>
      <c r="W185" s="366">
        <f>COUNT(RawMaterials[[#This Row],[Lab Quantity 1]:[Lab Quantity 4]])</f>
        <v>0</v>
      </c>
      <c r="X1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5" s="367" t="e">
        <f>RawMaterials[[#This Row],[Lab Price 1]]/RawMaterials[[#This Row],[Lab Q Model Units 1]]</f>
        <v>#N/A</v>
      </c>
      <c r="AC185" s="367" t="e">
        <f>RawMaterials[[#This Row],[Lab Price 2]]/RawMaterials[[#This Row],[Lab Q Model Units 2]]</f>
        <v>#N/A</v>
      </c>
      <c r="AD185" s="367" t="e">
        <f>RawMaterials[[#This Row],[Lab Price 3]]/RawMaterials[[#This Row],[Lab Q Model Units 3]]</f>
        <v>#N/A</v>
      </c>
      <c r="AE185" s="367" t="e">
        <f>RawMaterials[[#This Row],[Lab Price 4]]/RawMaterials[[#This Row],[Lab Q Model Units 4]]</f>
        <v>#N/A</v>
      </c>
      <c r="AF185" s="367" t="str">
        <f ca="1">IF(RawMaterials[[#This Row],[Lab Quote Count]]&gt;1,SLOPE(LOG(INDIRECT("RawMaterials[@[Lab Unit P 1]:[Lab Unit P "&amp;RawMaterials[[#This Row],[Lab Quote Count]]&amp;"]]")),LOG(INDIRECT("RawMaterials[@[Lab Q Model Units 1]:[Lab Q Model Units "&amp;RawMaterials[[#This Row],[Lab Quote Count]]&amp;"]]"))),"")</f>
        <v/>
      </c>
      <c r="AG185" s="367" t="str">
        <f ca="1">IF(RawMaterials[[#This Row],[Lab Quote Count]]&gt;1,INTERCEPT(LOG(INDIRECT("RawMaterials[@[Lab Unit P 1]:[Lab Unit P "&amp;RawMaterials[[#This Row],[Lab Quote Count]]&amp;"]]")),LOG(INDIRECT("RawMaterials[@[Lab Q Model Units 1]:[Lab Q Model Units "&amp;RawMaterials[[#This Row],[Lab Quote Count]]&amp;"]]"))),"")</f>
        <v/>
      </c>
      <c r="AH185" s="368" t="str">
        <f>IF(RawMaterials[[#This Row],[Material Type]]="Metal Precursor","D13",IF(RawMaterials[[#This Row],[Material Type]]="Ligand","D13","D12"))</f>
        <v>D12</v>
      </c>
      <c r="AI185" s="369" t="str">
        <f ca="1">IF(RawMaterials[[#This Row],[Lab Quote Count]]&gt;1,10^RawMaterials[[#This Row],[Lab Log-Log Intercept]]*INDIRECT(RawMaterials[[#This Row],[Basis Cell]])^RawMaterials[[#This Row],[Lab Log-Log Slope]],"&gt;&gt;&gt; Enter 2 or more lab quotes &lt;&lt;&lt;")</f>
        <v>&gt;&gt;&gt; Enter 2 or more lab quotes &lt;&lt;&lt;</v>
      </c>
      <c r="AJ1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185" s="372">
        <f>IF(ISTEXT(RawMaterials[[#This Row],[Unit price in quote year]]),"Check calcs",RawMaterials[[#This Row],[Unit price in quote year]]/VLOOKUP(RawMaterials[[#This Row],[Quote Year]],ChemPPI[],14,FALSE)*VLOOKUP(BasisYear,ChemPPI[],14,FALSE))</f>
        <v>0.89537264926054416</v>
      </c>
      <c r="AM185" s="373" t="str">
        <f t="shared" si="2"/>
        <v>$/lb (2016)</v>
      </c>
    </row>
    <row r="186" spans="1:39">
      <c r="A186" s="263" t="s">
        <v>1291</v>
      </c>
      <c r="B186" s="264"/>
      <c r="C186" s="271"/>
      <c r="D186" s="365"/>
      <c r="E186" s="264">
        <v>100</v>
      </c>
      <c r="F186" s="264"/>
      <c r="G186" s="271"/>
      <c r="H186" s="271"/>
      <c r="I186" s="268"/>
      <c r="J186" s="271"/>
      <c r="K186" s="271"/>
      <c r="L186" s="271"/>
      <c r="M186" s="271"/>
      <c r="N186" s="271"/>
      <c r="O186" s="271"/>
      <c r="P186" s="265">
        <v>0.67500000000000004</v>
      </c>
      <c r="Q186" s="264">
        <v>1</v>
      </c>
      <c r="R186" s="264" t="s">
        <v>20</v>
      </c>
      <c r="S186" s="264">
        <v>2006</v>
      </c>
      <c r="T186" s="266" t="s">
        <v>163</v>
      </c>
      <c r="U186" s="267">
        <v>42653</v>
      </c>
      <c r="V186" s="269"/>
      <c r="W186" s="366">
        <f>COUNT(RawMaterials[[#This Row],[Lab Quantity 1]:[Lab Quantity 4]])</f>
        <v>0</v>
      </c>
      <c r="X1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6" s="367" t="e">
        <f>RawMaterials[[#This Row],[Lab Price 1]]/RawMaterials[[#This Row],[Lab Q Model Units 1]]</f>
        <v>#N/A</v>
      </c>
      <c r="AC186" s="367" t="e">
        <f>RawMaterials[[#This Row],[Lab Price 2]]/RawMaterials[[#This Row],[Lab Q Model Units 2]]</f>
        <v>#N/A</v>
      </c>
      <c r="AD186" s="367" t="e">
        <f>RawMaterials[[#This Row],[Lab Price 3]]/RawMaterials[[#This Row],[Lab Q Model Units 3]]</f>
        <v>#N/A</v>
      </c>
      <c r="AE186" s="367" t="e">
        <f>RawMaterials[[#This Row],[Lab Price 4]]/RawMaterials[[#This Row],[Lab Q Model Units 4]]</f>
        <v>#N/A</v>
      </c>
      <c r="AF186" s="367" t="str">
        <f ca="1">IF(RawMaterials[[#This Row],[Lab Quote Count]]&gt;1,SLOPE(LOG(INDIRECT("RawMaterials[@[Lab Unit P 1]:[Lab Unit P "&amp;RawMaterials[[#This Row],[Lab Quote Count]]&amp;"]]")),LOG(INDIRECT("RawMaterials[@[Lab Q Model Units 1]:[Lab Q Model Units "&amp;RawMaterials[[#This Row],[Lab Quote Count]]&amp;"]]"))),"")</f>
        <v/>
      </c>
      <c r="AG186" s="367" t="str">
        <f ca="1">IF(RawMaterials[[#This Row],[Lab Quote Count]]&gt;1,INTERCEPT(LOG(INDIRECT("RawMaterials[@[Lab Unit P 1]:[Lab Unit P "&amp;RawMaterials[[#This Row],[Lab Quote Count]]&amp;"]]")),LOG(INDIRECT("RawMaterials[@[Lab Q Model Units 1]:[Lab Q Model Units "&amp;RawMaterials[[#This Row],[Lab Quote Count]]&amp;"]]"))),"")</f>
        <v/>
      </c>
      <c r="AH186" s="368" t="str">
        <f>IF(RawMaterials[[#This Row],[Material Type]]="Metal Precursor","D13",IF(RawMaterials[[#This Row],[Material Type]]="Ligand","D13","D12"))</f>
        <v>D12</v>
      </c>
      <c r="AI186" s="369" t="str">
        <f ca="1">IF(RawMaterials[[#This Row],[Lab Quote Count]]&gt;1,10^RawMaterials[[#This Row],[Lab Log-Log Intercept]]*INDIRECT(RawMaterials[[#This Row],[Basis Cell]])^RawMaterials[[#This Row],[Lab Log-Log Slope]],"&gt;&gt;&gt; Enter 2 or more lab quotes &lt;&lt;&lt;")</f>
        <v>&gt;&gt;&gt; Enter 2 or more lab quotes &lt;&lt;&lt;</v>
      </c>
      <c r="AJ1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186" s="372">
        <f>IF(ISTEXT(RawMaterials[[#This Row],[Unit price in quote year]]),"Check calcs",RawMaterials[[#This Row],[Unit price in quote year]]/VLOOKUP(RawMaterials[[#This Row],[Quote Year]],ChemPPI[],14,FALSE)*VLOOKUP(BasisYear,ChemPPI[],14,FALSE))</f>
        <v>0.91612042682926853</v>
      </c>
      <c r="AM186" s="373" t="str">
        <f t="shared" si="2"/>
        <v>$/lb (2016)</v>
      </c>
    </row>
    <row r="187" spans="1:39">
      <c r="A187" s="263" t="s">
        <v>1292</v>
      </c>
      <c r="B187" s="264"/>
      <c r="C187" s="271"/>
      <c r="D187" s="365"/>
      <c r="E187" s="264">
        <v>100</v>
      </c>
      <c r="F187" s="264"/>
      <c r="G187" s="271"/>
      <c r="H187" s="271"/>
      <c r="I187" s="268"/>
      <c r="J187" s="271"/>
      <c r="K187" s="271"/>
      <c r="L187" s="271"/>
      <c r="M187" s="271"/>
      <c r="N187" s="271"/>
      <c r="O187" s="271"/>
      <c r="P187" s="265">
        <v>0.57999999999999996</v>
      </c>
      <c r="Q187" s="264">
        <v>1</v>
      </c>
      <c r="R187" s="264" t="s">
        <v>20</v>
      </c>
      <c r="S187" s="264">
        <v>2008</v>
      </c>
      <c r="T187" s="266" t="s">
        <v>163</v>
      </c>
      <c r="U187" s="267">
        <v>42653</v>
      </c>
      <c r="V187" s="269"/>
      <c r="W187" s="366">
        <f>COUNT(RawMaterials[[#This Row],[Lab Quantity 1]:[Lab Quantity 4]])</f>
        <v>0</v>
      </c>
      <c r="X1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7" s="367" t="e">
        <f>RawMaterials[[#This Row],[Lab Price 1]]/RawMaterials[[#This Row],[Lab Q Model Units 1]]</f>
        <v>#N/A</v>
      </c>
      <c r="AC187" s="367" t="e">
        <f>RawMaterials[[#This Row],[Lab Price 2]]/RawMaterials[[#This Row],[Lab Q Model Units 2]]</f>
        <v>#N/A</v>
      </c>
      <c r="AD187" s="367" t="e">
        <f>RawMaterials[[#This Row],[Lab Price 3]]/RawMaterials[[#This Row],[Lab Q Model Units 3]]</f>
        <v>#N/A</v>
      </c>
      <c r="AE187" s="367" t="e">
        <f>RawMaterials[[#This Row],[Lab Price 4]]/RawMaterials[[#This Row],[Lab Q Model Units 4]]</f>
        <v>#N/A</v>
      </c>
      <c r="AF187" s="367" t="str">
        <f ca="1">IF(RawMaterials[[#This Row],[Lab Quote Count]]&gt;1,SLOPE(LOG(INDIRECT("RawMaterials[@[Lab Unit P 1]:[Lab Unit P "&amp;RawMaterials[[#This Row],[Lab Quote Count]]&amp;"]]")),LOG(INDIRECT("RawMaterials[@[Lab Q Model Units 1]:[Lab Q Model Units "&amp;RawMaterials[[#This Row],[Lab Quote Count]]&amp;"]]"))),"")</f>
        <v/>
      </c>
      <c r="AG187" s="367" t="str">
        <f ca="1">IF(RawMaterials[[#This Row],[Lab Quote Count]]&gt;1,INTERCEPT(LOG(INDIRECT("RawMaterials[@[Lab Unit P 1]:[Lab Unit P "&amp;RawMaterials[[#This Row],[Lab Quote Count]]&amp;"]]")),LOG(INDIRECT("RawMaterials[@[Lab Q Model Units 1]:[Lab Q Model Units "&amp;RawMaterials[[#This Row],[Lab Quote Count]]&amp;"]]"))),"")</f>
        <v/>
      </c>
      <c r="AH187" s="368" t="str">
        <f>IF(RawMaterials[[#This Row],[Material Type]]="Metal Precursor","D13",IF(RawMaterials[[#This Row],[Material Type]]="Ligand","D13","D12"))</f>
        <v>D12</v>
      </c>
      <c r="AI187" s="369" t="str">
        <f ca="1">IF(RawMaterials[[#This Row],[Lab Quote Count]]&gt;1,10^RawMaterials[[#This Row],[Lab Log-Log Intercept]]*INDIRECT(RawMaterials[[#This Row],[Basis Cell]])^RawMaterials[[#This Row],[Lab Log-Log Slope]],"&gt;&gt;&gt; Enter 2 or more lab quotes &lt;&lt;&lt;")</f>
        <v>&gt;&gt;&gt; Enter 2 or more lab quotes &lt;&lt;&lt;</v>
      </c>
      <c r="AJ1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187" s="372">
        <f>IF(ISTEXT(RawMaterials[[#This Row],[Unit price in quote year]]),"Check calcs",RawMaterials[[#This Row],[Unit price in quote year]]/VLOOKUP(RawMaterials[[#This Row],[Quote Year]],ChemPPI[],14,FALSE)*VLOOKUP(BasisYear,ChemPPI[],14,FALSE))</f>
        <v>0.67884462296877845</v>
      </c>
      <c r="AM187" s="373" t="str">
        <f t="shared" si="2"/>
        <v>$/lb (2016)</v>
      </c>
    </row>
    <row r="188" spans="1:39">
      <c r="A188" s="263" t="s">
        <v>1293</v>
      </c>
      <c r="B188" s="264"/>
      <c r="C188" s="271"/>
      <c r="D188" s="365"/>
      <c r="E188" s="264">
        <v>100</v>
      </c>
      <c r="F188" s="264"/>
      <c r="G188" s="271"/>
      <c r="H188" s="271"/>
      <c r="I188" s="268"/>
      <c r="J188" s="271"/>
      <c r="K188" s="271"/>
      <c r="L188" s="271"/>
      <c r="M188" s="271"/>
      <c r="N188" s="271"/>
      <c r="O188" s="271"/>
      <c r="P188" s="265">
        <v>0.42499999999999999</v>
      </c>
      <c r="Q188" s="264">
        <v>1</v>
      </c>
      <c r="R188" s="264" t="s">
        <v>20</v>
      </c>
      <c r="S188" s="264">
        <v>2006</v>
      </c>
      <c r="T188" s="266" t="s">
        <v>163</v>
      </c>
      <c r="U188" s="267">
        <v>42653</v>
      </c>
      <c r="V188" s="269"/>
      <c r="W188" s="366">
        <f>COUNT(RawMaterials[[#This Row],[Lab Quantity 1]:[Lab Quantity 4]])</f>
        <v>0</v>
      </c>
      <c r="X1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8" s="367" t="e">
        <f>RawMaterials[[#This Row],[Lab Price 1]]/RawMaterials[[#This Row],[Lab Q Model Units 1]]</f>
        <v>#N/A</v>
      </c>
      <c r="AC188" s="367" t="e">
        <f>RawMaterials[[#This Row],[Lab Price 2]]/RawMaterials[[#This Row],[Lab Q Model Units 2]]</f>
        <v>#N/A</v>
      </c>
      <c r="AD188" s="367" t="e">
        <f>RawMaterials[[#This Row],[Lab Price 3]]/RawMaterials[[#This Row],[Lab Q Model Units 3]]</f>
        <v>#N/A</v>
      </c>
      <c r="AE188" s="367" t="e">
        <f>RawMaterials[[#This Row],[Lab Price 4]]/RawMaterials[[#This Row],[Lab Q Model Units 4]]</f>
        <v>#N/A</v>
      </c>
      <c r="AF188" s="367" t="str">
        <f ca="1">IF(RawMaterials[[#This Row],[Lab Quote Count]]&gt;1,SLOPE(LOG(INDIRECT("RawMaterials[@[Lab Unit P 1]:[Lab Unit P "&amp;RawMaterials[[#This Row],[Lab Quote Count]]&amp;"]]")),LOG(INDIRECT("RawMaterials[@[Lab Q Model Units 1]:[Lab Q Model Units "&amp;RawMaterials[[#This Row],[Lab Quote Count]]&amp;"]]"))),"")</f>
        <v/>
      </c>
      <c r="AG188" s="367" t="str">
        <f ca="1">IF(RawMaterials[[#This Row],[Lab Quote Count]]&gt;1,INTERCEPT(LOG(INDIRECT("RawMaterials[@[Lab Unit P 1]:[Lab Unit P "&amp;RawMaterials[[#This Row],[Lab Quote Count]]&amp;"]]")),LOG(INDIRECT("RawMaterials[@[Lab Q Model Units 1]:[Lab Q Model Units "&amp;RawMaterials[[#This Row],[Lab Quote Count]]&amp;"]]"))),"")</f>
        <v/>
      </c>
      <c r="AH188" s="368" t="str">
        <f>IF(RawMaterials[[#This Row],[Material Type]]="Metal Precursor","D13",IF(RawMaterials[[#This Row],[Material Type]]="Ligand","D13","D12"))</f>
        <v>D12</v>
      </c>
      <c r="AI188" s="369" t="str">
        <f ca="1">IF(RawMaterials[[#This Row],[Lab Quote Count]]&gt;1,10^RawMaterials[[#This Row],[Lab Log-Log Intercept]]*INDIRECT(RawMaterials[[#This Row],[Basis Cell]])^RawMaterials[[#This Row],[Lab Log-Log Slope]],"&gt;&gt;&gt; Enter 2 or more lab quotes &lt;&lt;&lt;")</f>
        <v>&gt;&gt;&gt; Enter 2 or more lab quotes &lt;&lt;&lt;</v>
      </c>
      <c r="AJ1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0.42499999999999999</v>
      </c>
      <c r="AL188" s="372">
        <f>IF(ISTEXT(RawMaterials[[#This Row],[Unit price in quote year]]),"Check calcs",RawMaterials[[#This Row],[Unit price in quote year]]/VLOOKUP(RawMaterials[[#This Row],[Quote Year]],ChemPPI[],14,FALSE)*VLOOKUP(BasisYear,ChemPPI[],14,FALSE))</f>
        <v>0.57681656504065049</v>
      </c>
      <c r="AM188" s="373" t="str">
        <f t="shared" si="2"/>
        <v>$/lb (2016)</v>
      </c>
    </row>
    <row r="189" spans="1:39">
      <c r="A189" s="263" t="s">
        <v>1294</v>
      </c>
      <c r="B189" s="264"/>
      <c r="C189" s="271"/>
      <c r="D189" s="365"/>
      <c r="E189" s="264">
        <v>100</v>
      </c>
      <c r="F189" s="264"/>
      <c r="G189" s="271"/>
      <c r="H189" s="271"/>
      <c r="I189" s="268"/>
      <c r="J189" s="271"/>
      <c r="K189" s="271"/>
      <c r="L189" s="271"/>
      <c r="M189" s="271"/>
      <c r="N189" s="271"/>
      <c r="O189" s="271"/>
      <c r="P189" s="265">
        <v>1.38499999999999</v>
      </c>
      <c r="Q189" s="264">
        <v>1</v>
      </c>
      <c r="R189" s="264" t="s">
        <v>20</v>
      </c>
      <c r="S189" s="264">
        <v>2006</v>
      </c>
      <c r="T189" s="266" t="s">
        <v>163</v>
      </c>
      <c r="U189" s="267">
        <v>42653</v>
      </c>
      <c r="V189" s="269"/>
      <c r="W189" s="366">
        <f>COUNT(RawMaterials[[#This Row],[Lab Quantity 1]:[Lab Quantity 4]])</f>
        <v>0</v>
      </c>
      <c r="X1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89" s="367" t="e">
        <f>RawMaterials[[#This Row],[Lab Price 1]]/RawMaterials[[#This Row],[Lab Q Model Units 1]]</f>
        <v>#N/A</v>
      </c>
      <c r="AC189" s="367" t="e">
        <f>RawMaterials[[#This Row],[Lab Price 2]]/RawMaterials[[#This Row],[Lab Q Model Units 2]]</f>
        <v>#N/A</v>
      </c>
      <c r="AD189" s="367" t="e">
        <f>RawMaterials[[#This Row],[Lab Price 3]]/RawMaterials[[#This Row],[Lab Q Model Units 3]]</f>
        <v>#N/A</v>
      </c>
      <c r="AE189" s="367" t="e">
        <f>RawMaterials[[#This Row],[Lab Price 4]]/RawMaterials[[#This Row],[Lab Q Model Units 4]]</f>
        <v>#N/A</v>
      </c>
      <c r="AF189" s="367" t="str">
        <f ca="1">IF(RawMaterials[[#This Row],[Lab Quote Count]]&gt;1,SLOPE(LOG(INDIRECT("RawMaterials[@[Lab Unit P 1]:[Lab Unit P "&amp;RawMaterials[[#This Row],[Lab Quote Count]]&amp;"]]")),LOG(INDIRECT("RawMaterials[@[Lab Q Model Units 1]:[Lab Q Model Units "&amp;RawMaterials[[#This Row],[Lab Quote Count]]&amp;"]]"))),"")</f>
        <v/>
      </c>
      <c r="AG189" s="367" t="str">
        <f ca="1">IF(RawMaterials[[#This Row],[Lab Quote Count]]&gt;1,INTERCEPT(LOG(INDIRECT("RawMaterials[@[Lab Unit P 1]:[Lab Unit P "&amp;RawMaterials[[#This Row],[Lab Quote Count]]&amp;"]]")),LOG(INDIRECT("RawMaterials[@[Lab Q Model Units 1]:[Lab Q Model Units "&amp;RawMaterials[[#This Row],[Lab Quote Count]]&amp;"]]"))),"")</f>
        <v/>
      </c>
      <c r="AH189" s="368" t="str">
        <f>IF(RawMaterials[[#This Row],[Material Type]]="Metal Precursor","D13",IF(RawMaterials[[#This Row],[Material Type]]="Ligand","D13","D12"))</f>
        <v>D12</v>
      </c>
      <c r="AI189" s="369" t="str">
        <f ca="1">IF(RawMaterials[[#This Row],[Lab Quote Count]]&gt;1,10^RawMaterials[[#This Row],[Lab Log-Log Intercept]]*INDIRECT(RawMaterials[[#This Row],[Basis Cell]])^RawMaterials[[#This Row],[Lab Log-Log Slope]],"&gt;&gt;&gt; Enter 2 or more lab quotes &lt;&lt;&lt;")</f>
        <v>&gt;&gt;&gt; Enter 2 or more lab quotes &lt;&lt;&lt;</v>
      </c>
      <c r="AJ1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1.38499999999999</v>
      </c>
      <c r="AL189" s="372">
        <f>IF(ISTEXT(RawMaterials[[#This Row],[Unit price in quote year]]),"Check calcs",RawMaterials[[#This Row],[Unit price in quote year]]/VLOOKUP(RawMaterials[[#This Row],[Quote Year]],ChemPPI[],14,FALSE)*VLOOKUP(BasisYear,ChemPPI[],14,FALSE))</f>
        <v>1.8797433943089299</v>
      </c>
      <c r="AM189" s="373" t="str">
        <f t="shared" si="2"/>
        <v>$/lb (2016)</v>
      </c>
    </row>
    <row r="190" spans="1:39">
      <c r="A190" s="263" t="s">
        <v>1295</v>
      </c>
      <c r="B190" s="264"/>
      <c r="C190" s="271"/>
      <c r="D190" s="365"/>
      <c r="E190" s="264">
        <v>100</v>
      </c>
      <c r="F190" s="264"/>
      <c r="G190" s="271"/>
      <c r="H190" s="271"/>
      <c r="I190" s="268"/>
      <c r="J190" s="271"/>
      <c r="K190" s="271"/>
      <c r="L190" s="271"/>
      <c r="M190" s="271"/>
      <c r="N190" s="271"/>
      <c r="O190" s="271"/>
      <c r="P190" s="265">
        <v>7.5</v>
      </c>
      <c r="Q190" s="264">
        <v>1</v>
      </c>
      <c r="R190" s="264" t="s">
        <v>71</v>
      </c>
      <c r="S190" s="264">
        <v>2006</v>
      </c>
      <c r="T190" s="266" t="s">
        <v>163</v>
      </c>
      <c r="U190" s="267">
        <v>42653</v>
      </c>
      <c r="V190" s="269"/>
      <c r="W190" s="366">
        <f>COUNT(RawMaterials[[#This Row],[Lab Quantity 1]:[Lab Quantity 4]])</f>
        <v>0</v>
      </c>
      <c r="X1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0" s="367" t="e">
        <f>RawMaterials[[#This Row],[Lab Price 1]]/RawMaterials[[#This Row],[Lab Q Model Units 1]]</f>
        <v>#N/A</v>
      </c>
      <c r="AC190" s="367" t="e">
        <f>RawMaterials[[#This Row],[Lab Price 2]]/RawMaterials[[#This Row],[Lab Q Model Units 2]]</f>
        <v>#N/A</v>
      </c>
      <c r="AD190" s="367" t="e">
        <f>RawMaterials[[#This Row],[Lab Price 3]]/RawMaterials[[#This Row],[Lab Q Model Units 3]]</f>
        <v>#N/A</v>
      </c>
      <c r="AE190" s="367" t="e">
        <f>RawMaterials[[#This Row],[Lab Price 4]]/RawMaterials[[#This Row],[Lab Q Model Units 4]]</f>
        <v>#N/A</v>
      </c>
      <c r="AF190" s="367" t="str">
        <f ca="1">IF(RawMaterials[[#This Row],[Lab Quote Count]]&gt;1,SLOPE(LOG(INDIRECT("RawMaterials[@[Lab Unit P 1]:[Lab Unit P "&amp;RawMaterials[[#This Row],[Lab Quote Count]]&amp;"]]")),LOG(INDIRECT("RawMaterials[@[Lab Q Model Units 1]:[Lab Q Model Units "&amp;RawMaterials[[#This Row],[Lab Quote Count]]&amp;"]]"))),"")</f>
        <v/>
      </c>
      <c r="AG190" s="367" t="str">
        <f ca="1">IF(RawMaterials[[#This Row],[Lab Quote Count]]&gt;1,INTERCEPT(LOG(INDIRECT("RawMaterials[@[Lab Unit P 1]:[Lab Unit P "&amp;RawMaterials[[#This Row],[Lab Quote Count]]&amp;"]]")),LOG(INDIRECT("RawMaterials[@[Lab Q Model Units 1]:[Lab Q Model Units "&amp;RawMaterials[[#This Row],[Lab Quote Count]]&amp;"]]"))),"")</f>
        <v/>
      </c>
      <c r="AH190" s="368" t="str">
        <f>IF(RawMaterials[[#This Row],[Material Type]]="Metal Precursor","D13",IF(RawMaterials[[#This Row],[Material Type]]="Ligand","D13","D12"))</f>
        <v>D12</v>
      </c>
      <c r="AI190" s="369" t="str">
        <f ca="1">IF(RawMaterials[[#This Row],[Lab Quote Count]]&gt;1,10^RawMaterials[[#This Row],[Lab Log-Log Intercept]]*INDIRECT(RawMaterials[[#This Row],[Basis Cell]])^RawMaterials[[#This Row],[Lab Log-Log Slope]],"&gt;&gt;&gt; Enter 2 or more lab quotes &lt;&lt;&lt;")</f>
        <v>&gt;&gt;&gt; Enter 2 or more lab quotes &lt;&lt;&lt;</v>
      </c>
      <c r="AJ1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1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3.4019427750000002</v>
      </c>
      <c r="AL190" s="372">
        <f>IF(ISTEXT(RawMaterials[[#This Row],[Unit price in quote year]]),"Check calcs",RawMaterials[[#This Row],[Unit price in quote year]]/VLOOKUP(RawMaterials[[#This Row],[Quote Year]],ChemPPI[],14,FALSE)*VLOOKUP(BasisYear,ChemPPI[],14,FALSE))</f>
        <v>4.6171692845655503</v>
      </c>
      <c r="AM190" s="373" t="str">
        <f t="shared" si="2"/>
        <v>$/lb (2016)</v>
      </c>
    </row>
    <row r="191" spans="1:39">
      <c r="A191" s="263" t="s">
        <v>1296</v>
      </c>
      <c r="B191" s="264"/>
      <c r="C191" s="271"/>
      <c r="D191" s="365"/>
      <c r="E191" s="264">
        <v>100</v>
      </c>
      <c r="F191" s="264"/>
      <c r="G191" s="271"/>
      <c r="H191" s="271"/>
      <c r="I191" s="268"/>
      <c r="J191" s="271"/>
      <c r="K191" s="271"/>
      <c r="L191" s="271"/>
      <c r="M191" s="271"/>
      <c r="N191" s="271"/>
      <c r="O191" s="271"/>
      <c r="P191" s="265">
        <v>0.95</v>
      </c>
      <c r="Q191" s="264">
        <v>1</v>
      </c>
      <c r="R191" s="264" t="s">
        <v>20</v>
      </c>
      <c r="S191" s="264">
        <v>2008</v>
      </c>
      <c r="T191" s="266" t="s">
        <v>163</v>
      </c>
      <c r="U191" s="267">
        <v>42653</v>
      </c>
      <c r="V191" s="269"/>
      <c r="W191" s="366">
        <f>COUNT(RawMaterials[[#This Row],[Lab Quantity 1]:[Lab Quantity 4]])</f>
        <v>0</v>
      </c>
      <c r="X1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1" s="367" t="e">
        <f>RawMaterials[[#This Row],[Lab Price 1]]/RawMaterials[[#This Row],[Lab Q Model Units 1]]</f>
        <v>#N/A</v>
      </c>
      <c r="AC191" s="367" t="e">
        <f>RawMaterials[[#This Row],[Lab Price 2]]/RawMaterials[[#This Row],[Lab Q Model Units 2]]</f>
        <v>#N/A</v>
      </c>
      <c r="AD191" s="367" t="e">
        <f>RawMaterials[[#This Row],[Lab Price 3]]/RawMaterials[[#This Row],[Lab Q Model Units 3]]</f>
        <v>#N/A</v>
      </c>
      <c r="AE191" s="367" t="e">
        <f>RawMaterials[[#This Row],[Lab Price 4]]/RawMaterials[[#This Row],[Lab Q Model Units 4]]</f>
        <v>#N/A</v>
      </c>
      <c r="AF191" s="367" t="str">
        <f ca="1">IF(RawMaterials[[#This Row],[Lab Quote Count]]&gt;1,SLOPE(LOG(INDIRECT("RawMaterials[@[Lab Unit P 1]:[Lab Unit P "&amp;RawMaterials[[#This Row],[Lab Quote Count]]&amp;"]]")),LOG(INDIRECT("RawMaterials[@[Lab Q Model Units 1]:[Lab Q Model Units "&amp;RawMaterials[[#This Row],[Lab Quote Count]]&amp;"]]"))),"")</f>
        <v/>
      </c>
      <c r="AG191" s="367" t="str">
        <f ca="1">IF(RawMaterials[[#This Row],[Lab Quote Count]]&gt;1,INTERCEPT(LOG(INDIRECT("RawMaterials[@[Lab Unit P 1]:[Lab Unit P "&amp;RawMaterials[[#This Row],[Lab Quote Count]]&amp;"]]")),LOG(INDIRECT("RawMaterials[@[Lab Q Model Units 1]:[Lab Q Model Units "&amp;RawMaterials[[#This Row],[Lab Quote Count]]&amp;"]]"))),"")</f>
        <v/>
      </c>
      <c r="AH191" s="368" t="str">
        <f>IF(RawMaterials[[#This Row],[Material Type]]="Metal Precursor","D13",IF(RawMaterials[[#This Row],[Material Type]]="Ligand","D13","D12"))</f>
        <v>D12</v>
      </c>
      <c r="AI191" s="369" t="str">
        <f ca="1">IF(RawMaterials[[#This Row],[Lab Quote Count]]&gt;1,10^RawMaterials[[#This Row],[Lab Log-Log Intercept]]*INDIRECT(RawMaterials[[#This Row],[Basis Cell]])^RawMaterials[[#This Row],[Lab Log-Log Slope]],"&gt;&gt;&gt; Enter 2 or more lab quotes &lt;&lt;&lt;")</f>
        <v>&gt;&gt;&gt; Enter 2 or more lab quotes &lt;&lt;&lt;</v>
      </c>
      <c r="AJ1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191" s="372">
        <f>IF(ISTEXT(RawMaterials[[#This Row],[Unit price in quote year]]),"Check calcs",RawMaterials[[#This Row],[Unit price in quote year]]/VLOOKUP(RawMaterials[[#This Row],[Quote Year]],ChemPPI[],14,FALSE)*VLOOKUP(BasisYear,ChemPPI[],14,FALSE))</f>
        <v>1.1119006755523098</v>
      </c>
      <c r="AM191" s="373" t="str">
        <f t="shared" si="2"/>
        <v>$/lb (2016)</v>
      </c>
    </row>
    <row r="192" spans="1:39">
      <c r="A192" s="263" t="s">
        <v>1297</v>
      </c>
      <c r="B192" s="264"/>
      <c r="C192" s="271"/>
      <c r="D192" s="365"/>
      <c r="E192" s="264">
        <v>100</v>
      </c>
      <c r="F192" s="264"/>
      <c r="G192" s="271"/>
      <c r="H192" s="271"/>
      <c r="I192" s="268"/>
      <c r="J192" s="271"/>
      <c r="K192" s="271"/>
      <c r="L192" s="271"/>
      <c r="M192" s="271"/>
      <c r="N192" s="271"/>
      <c r="O192" s="271"/>
      <c r="P192" s="265">
        <v>0.94</v>
      </c>
      <c r="Q192" s="264">
        <v>1</v>
      </c>
      <c r="R192" s="264" t="s">
        <v>20</v>
      </c>
      <c r="S192" s="264">
        <v>2008</v>
      </c>
      <c r="T192" s="266" t="s">
        <v>163</v>
      </c>
      <c r="U192" s="267">
        <v>42653</v>
      </c>
      <c r="V192" s="269"/>
      <c r="W192" s="366">
        <f>COUNT(RawMaterials[[#This Row],[Lab Quantity 1]:[Lab Quantity 4]])</f>
        <v>0</v>
      </c>
      <c r="X1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2" s="367" t="e">
        <f>RawMaterials[[#This Row],[Lab Price 1]]/RawMaterials[[#This Row],[Lab Q Model Units 1]]</f>
        <v>#N/A</v>
      </c>
      <c r="AC192" s="367" t="e">
        <f>RawMaterials[[#This Row],[Lab Price 2]]/RawMaterials[[#This Row],[Lab Q Model Units 2]]</f>
        <v>#N/A</v>
      </c>
      <c r="AD192" s="367" t="e">
        <f>RawMaterials[[#This Row],[Lab Price 3]]/RawMaterials[[#This Row],[Lab Q Model Units 3]]</f>
        <v>#N/A</v>
      </c>
      <c r="AE192" s="367" t="e">
        <f>RawMaterials[[#This Row],[Lab Price 4]]/RawMaterials[[#This Row],[Lab Q Model Units 4]]</f>
        <v>#N/A</v>
      </c>
      <c r="AF192" s="367" t="str">
        <f ca="1">IF(RawMaterials[[#This Row],[Lab Quote Count]]&gt;1,SLOPE(LOG(INDIRECT("RawMaterials[@[Lab Unit P 1]:[Lab Unit P "&amp;RawMaterials[[#This Row],[Lab Quote Count]]&amp;"]]")),LOG(INDIRECT("RawMaterials[@[Lab Q Model Units 1]:[Lab Q Model Units "&amp;RawMaterials[[#This Row],[Lab Quote Count]]&amp;"]]"))),"")</f>
        <v/>
      </c>
      <c r="AG192" s="367" t="str">
        <f ca="1">IF(RawMaterials[[#This Row],[Lab Quote Count]]&gt;1,INTERCEPT(LOG(INDIRECT("RawMaterials[@[Lab Unit P 1]:[Lab Unit P "&amp;RawMaterials[[#This Row],[Lab Quote Count]]&amp;"]]")),LOG(INDIRECT("RawMaterials[@[Lab Q Model Units 1]:[Lab Q Model Units "&amp;RawMaterials[[#This Row],[Lab Quote Count]]&amp;"]]"))),"")</f>
        <v/>
      </c>
      <c r="AH192" s="368" t="str">
        <f>IF(RawMaterials[[#This Row],[Material Type]]="Metal Precursor","D13",IF(RawMaterials[[#This Row],[Material Type]]="Ligand","D13","D12"))</f>
        <v>D12</v>
      </c>
      <c r="AI192" s="369" t="str">
        <f ca="1">IF(RawMaterials[[#This Row],[Lab Quote Count]]&gt;1,10^RawMaterials[[#This Row],[Lab Log-Log Intercept]]*INDIRECT(RawMaterials[[#This Row],[Basis Cell]])^RawMaterials[[#This Row],[Lab Log-Log Slope]],"&gt;&gt;&gt; Enter 2 or more lab quotes &lt;&lt;&lt;")</f>
        <v>&gt;&gt;&gt; Enter 2 or more lab quotes &lt;&lt;&lt;</v>
      </c>
      <c r="AJ1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192" s="372">
        <f>IF(ISTEXT(RawMaterials[[#This Row],[Unit price in quote year]]),"Check calcs",RawMaterials[[#This Row],[Unit price in quote year]]/VLOOKUP(RawMaterials[[#This Row],[Quote Year]],ChemPPI[],14,FALSE)*VLOOKUP(BasisYear,ChemPPI[],14,FALSE))</f>
        <v>1.100196457914917</v>
      </c>
      <c r="AM192" s="373" t="str">
        <f t="shared" si="2"/>
        <v>$/lb (2016)</v>
      </c>
    </row>
    <row r="193" spans="1:39">
      <c r="A193" s="263" t="s">
        <v>1298</v>
      </c>
      <c r="B193" s="264"/>
      <c r="C193" s="271"/>
      <c r="D193" s="365"/>
      <c r="E193" s="264">
        <v>100</v>
      </c>
      <c r="F193" s="264"/>
      <c r="G193" s="271"/>
      <c r="H193" s="271"/>
      <c r="I193" s="268"/>
      <c r="J193" s="271"/>
      <c r="K193" s="271"/>
      <c r="L193" s="271"/>
      <c r="M193" s="271"/>
      <c r="N193" s="271"/>
      <c r="O193" s="271"/>
      <c r="P193" s="265">
        <v>1.0449999999999999</v>
      </c>
      <c r="Q193" s="264">
        <v>1</v>
      </c>
      <c r="R193" s="264" t="s">
        <v>20</v>
      </c>
      <c r="S193" s="264">
        <v>2008</v>
      </c>
      <c r="T193" s="266" t="s">
        <v>163</v>
      </c>
      <c r="U193" s="267">
        <v>42653</v>
      </c>
      <c r="V193" s="269"/>
      <c r="W193" s="366">
        <f>COUNT(RawMaterials[[#This Row],[Lab Quantity 1]:[Lab Quantity 4]])</f>
        <v>0</v>
      </c>
      <c r="X1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3" s="367" t="e">
        <f>RawMaterials[[#This Row],[Lab Price 1]]/RawMaterials[[#This Row],[Lab Q Model Units 1]]</f>
        <v>#N/A</v>
      </c>
      <c r="AC193" s="367" t="e">
        <f>RawMaterials[[#This Row],[Lab Price 2]]/RawMaterials[[#This Row],[Lab Q Model Units 2]]</f>
        <v>#N/A</v>
      </c>
      <c r="AD193" s="367" t="e">
        <f>RawMaterials[[#This Row],[Lab Price 3]]/RawMaterials[[#This Row],[Lab Q Model Units 3]]</f>
        <v>#N/A</v>
      </c>
      <c r="AE193" s="367" t="e">
        <f>RawMaterials[[#This Row],[Lab Price 4]]/RawMaterials[[#This Row],[Lab Q Model Units 4]]</f>
        <v>#N/A</v>
      </c>
      <c r="AF193" s="367" t="str">
        <f ca="1">IF(RawMaterials[[#This Row],[Lab Quote Count]]&gt;1,SLOPE(LOG(INDIRECT("RawMaterials[@[Lab Unit P 1]:[Lab Unit P "&amp;RawMaterials[[#This Row],[Lab Quote Count]]&amp;"]]")),LOG(INDIRECT("RawMaterials[@[Lab Q Model Units 1]:[Lab Q Model Units "&amp;RawMaterials[[#This Row],[Lab Quote Count]]&amp;"]]"))),"")</f>
        <v/>
      </c>
      <c r="AG193" s="367" t="str">
        <f ca="1">IF(RawMaterials[[#This Row],[Lab Quote Count]]&gt;1,INTERCEPT(LOG(INDIRECT("RawMaterials[@[Lab Unit P 1]:[Lab Unit P "&amp;RawMaterials[[#This Row],[Lab Quote Count]]&amp;"]]")),LOG(INDIRECT("RawMaterials[@[Lab Q Model Units 1]:[Lab Q Model Units "&amp;RawMaterials[[#This Row],[Lab Quote Count]]&amp;"]]"))),"")</f>
        <v/>
      </c>
      <c r="AH193" s="368" t="str">
        <f>IF(RawMaterials[[#This Row],[Material Type]]="Metal Precursor","D13",IF(RawMaterials[[#This Row],[Material Type]]="Ligand","D13","D12"))</f>
        <v>D12</v>
      </c>
      <c r="AI193" s="369" t="str">
        <f ca="1">IF(RawMaterials[[#This Row],[Lab Quote Count]]&gt;1,10^RawMaterials[[#This Row],[Lab Log-Log Intercept]]*INDIRECT(RawMaterials[[#This Row],[Basis Cell]])^RawMaterials[[#This Row],[Lab Log-Log Slope]],"&gt;&gt;&gt; Enter 2 or more lab quotes &lt;&lt;&lt;")</f>
        <v>&gt;&gt;&gt; Enter 2 or more lab quotes &lt;&lt;&lt;</v>
      </c>
      <c r="AJ1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193" s="372">
        <f>IF(ISTEXT(RawMaterials[[#This Row],[Unit price in quote year]]),"Check calcs",RawMaterials[[#This Row],[Unit price in quote year]]/VLOOKUP(RawMaterials[[#This Row],[Quote Year]],ChemPPI[],14,FALSE)*VLOOKUP(BasisYear,ChemPPI[],14,FALSE))</f>
        <v>1.2230907431075406</v>
      </c>
      <c r="AM193" s="373" t="str">
        <f t="shared" si="2"/>
        <v>$/lb (2016)</v>
      </c>
    </row>
    <row r="194" spans="1:39">
      <c r="A194" s="263" t="s">
        <v>1299</v>
      </c>
      <c r="B194" s="264"/>
      <c r="C194" s="271"/>
      <c r="D194" s="365"/>
      <c r="E194" s="264">
        <v>100</v>
      </c>
      <c r="F194" s="264"/>
      <c r="G194" s="271"/>
      <c r="H194" s="271"/>
      <c r="I194" s="268"/>
      <c r="J194" s="271"/>
      <c r="K194" s="271"/>
      <c r="L194" s="271"/>
      <c r="M194" s="271"/>
      <c r="N194" s="271"/>
      <c r="O194" s="271"/>
      <c r="P194" s="265">
        <v>0.94499999999999995</v>
      </c>
      <c r="Q194" s="264">
        <v>1</v>
      </c>
      <c r="R194" s="264" t="s">
        <v>20</v>
      </c>
      <c r="S194" s="264">
        <v>2008</v>
      </c>
      <c r="T194" s="266" t="s">
        <v>163</v>
      </c>
      <c r="U194" s="267">
        <v>42653</v>
      </c>
      <c r="V194" s="269"/>
      <c r="W194" s="366">
        <f>COUNT(RawMaterials[[#This Row],[Lab Quantity 1]:[Lab Quantity 4]])</f>
        <v>0</v>
      </c>
      <c r="X1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4" s="367" t="e">
        <f>RawMaterials[[#This Row],[Lab Price 1]]/RawMaterials[[#This Row],[Lab Q Model Units 1]]</f>
        <v>#N/A</v>
      </c>
      <c r="AC194" s="367" t="e">
        <f>RawMaterials[[#This Row],[Lab Price 2]]/RawMaterials[[#This Row],[Lab Q Model Units 2]]</f>
        <v>#N/A</v>
      </c>
      <c r="AD194" s="367" t="e">
        <f>RawMaterials[[#This Row],[Lab Price 3]]/RawMaterials[[#This Row],[Lab Q Model Units 3]]</f>
        <v>#N/A</v>
      </c>
      <c r="AE194" s="367" t="e">
        <f>RawMaterials[[#This Row],[Lab Price 4]]/RawMaterials[[#This Row],[Lab Q Model Units 4]]</f>
        <v>#N/A</v>
      </c>
      <c r="AF194" s="367" t="str">
        <f ca="1">IF(RawMaterials[[#This Row],[Lab Quote Count]]&gt;1,SLOPE(LOG(INDIRECT("RawMaterials[@[Lab Unit P 1]:[Lab Unit P "&amp;RawMaterials[[#This Row],[Lab Quote Count]]&amp;"]]")),LOG(INDIRECT("RawMaterials[@[Lab Q Model Units 1]:[Lab Q Model Units "&amp;RawMaterials[[#This Row],[Lab Quote Count]]&amp;"]]"))),"")</f>
        <v/>
      </c>
      <c r="AG194" s="367" t="str">
        <f ca="1">IF(RawMaterials[[#This Row],[Lab Quote Count]]&gt;1,INTERCEPT(LOG(INDIRECT("RawMaterials[@[Lab Unit P 1]:[Lab Unit P "&amp;RawMaterials[[#This Row],[Lab Quote Count]]&amp;"]]")),LOG(INDIRECT("RawMaterials[@[Lab Q Model Units 1]:[Lab Q Model Units "&amp;RawMaterials[[#This Row],[Lab Quote Count]]&amp;"]]"))),"")</f>
        <v/>
      </c>
      <c r="AH194" s="368" t="str">
        <f>IF(RawMaterials[[#This Row],[Material Type]]="Metal Precursor","D13",IF(RawMaterials[[#This Row],[Material Type]]="Ligand","D13","D12"))</f>
        <v>D12</v>
      </c>
      <c r="AI194" s="369" t="str">
        <f ca="1">IF(RawMaterials[[#This Row],[Lab Quote Count]]&gt;1,10^RawMaterials[[#This Row],[Lab Log-Log Intercept]]*INDIRECT(RawMaterials[[#This Row],[Basis Cell]])^RawMaterials[[#This Row],[Lab Log-Log Slope]],"&gt;&gt;&gt; Enter 2 or more lab quotes &lt;&lt;&lt;")</f>
        <v>&gt;&gt;&gt; Enter 2 or more lab quotes &lt;&lt;&lt;</v>
      </c>
      <c r="AJ1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0.94499999999999995</v>
      </c>
      <c r="AL194" s="372">
        <f>IF(ISTEXT(RawMaterials[[#This Row],[Unit price in quote year]]),"Check calcs",RawMaterials[[#This Row],[Unit price in quote year]]/VLOOKUP(RawMaterials[[#This Row],[Quote Year]],ChemPPI[],14,FALSE)*VLOOKUP(BasisYear,ChemPPI[],14,FALSE))</f>
        <v>1.1060485667336133</v>
      </c>
      <c r="AM194" s="373" t="str">
        <f t="shared" si="2"/>
        <v>$/lb (2016)</v>
      </c>
    </row>
    <row r="195" spans="1:39">
      <c r="A195" s="263" t="s">
        <v>1300</v>
      </c>
      <c r="B195" s="264"/>
      <c r="C195" s="271"/>
      <c r="D195" s="365"/>
      <c r="E195" s="264">
        <v>100</v>
      </c>
      <c r="F195" s="264"/>
      <c r="G195" s="271"/>
      <c r="H195" s="271"/>
      <c r="I195" s="268"/>
      <c r="J195" s="271"/>
      <c r="K195" s="271"/>
      <c r="L195" s="271"/>
      <c r="M195" s="271"/>
      <c r="N195" s="271"/>
      <c r="O195" s="271"/>
      <c r="P195" s="265">
        <v>16.5</v>
      </c>
      <c r="Q195" s="264">
        <v>1</v>
      </c>
      <c r="R195" s="264" t="s">
        <v>406</v>
      </c>
      <c r="S195" s="264">
        <v>2008</v>
      </c>
      <c r="T195" s="266" t="s">
        <v>163</v>
      </c>
      <c r="U195" s="267">
        <v>42653</v>
      </c>
      <c r="V195" s="269"/>
      <c r="W195" s="366">
        <f>COUNT(RawMaterials[[#This Row],[Lab Quantity 1]:[Lab Quantity 4]])</f>
        <v>0</v>
      </c>
      <c r="X1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5" s="367" t="e">
        <f>RawMaterials[[#This Row],[Lab Price 1]]/RawMaterials[[#This Row],[Lab Q Model Units 1]]</f>
        <v>#N/A</v>
      </c>
      <c r="AC195" s="367" t="e">
        <f>RawMaterials[[#This Row],[Lab Price 2]]/RawMaterials[[#This Row],[Lab Q Model Units 2]]</f>
        <v>#N/A</v>
      </c>
      <c r="AD195" s="367" t="e">
        <f>RawMaterials[[#This Row],[Lab Price 3]]/RawMaterials[[#This Row],[Lab Q Model Units 3]]</f>
        <v>#N/A</v>
      </c>
      <c r="AE195" s="367" t="e">
        <f>RawMaterials[[#This Row],[Lab Price 4]]/RawMaterials[[#This Row],[Lab Q Model Units 4]]</f>
        <v>#N/A</v>
      </c>
      <c r="AF195" s="367" t="str">
        <f ca="1">IF(RawMaterials[[#This Row],[Lab Quote Count]]&gt;1,SLOPE(LOG(INDIRECT("RawMaterials[@[Lab Unit P 1]:[Lab Unit P "&amp;RawMaterials[[#This Row],[Lab Quote Count]]&amp;"]]")),LOG(INDIRECT("RawMaterials[@[Lab Q Model Units 1]:[Lab Q Model Units "&amp;RawMaterials[[#This Row],[Lab Quote Count]]&amp;"]]"))),"")</f>
        <v/>
      </c>
      <c r="AG195" s="367" t="str">
        <f ca="1">IF(RawMaterials[[#This Row],[Lab Quote Count]]&gt;1,INTERCEPT(LOG(INDIRECT("RawMaterials[@[Lab Unit P 1]:[Lab Unit P "&amp;RawMaterials[[#This Row],[Lab Quote Count]]&amp;"]]")),LOG(INDIRECT("RawMaterials[@[Lab Q Model Units 1]:[Lab Q Model Units "&amp;RawMaterials[[#This Row],[Lab Quote Count]]&amp;"]]"))),"")</f>
        <v/>
      </c>
      <c r="AH195" s="368" t="str">
        <f>IF(RawMaterials[[#This Row],[Material Type]]="Metal Precursor","D13",IF(RawMaterials[[#This Row],[Material Type]]="Ligand","D13","D12"))</f>
        <v>D12</v>
      </c>
      <c r="AI195" s="369" t="str">
        <f ca="1">IF(RawMaterials[[#This Row],[Lab Quote Count]]&gt;1,10^RawMaterials[[#This Row],[Lab Log-Log Intercept]]*INDIRECT(RawMaterials[[#This Row],[Basis Cell]])^RawMaterials[[#This Row],[Lab Log-Log Slope]],"&gt;&gt;&gt; Enter 2 or more lab quotes &lt;&lt;&lt;")</f>
        <v>&gt;&gt;&gt; Enter 2 or more lab quotes &lt;&lt;&lt;</v>
      </c>
      <c r="AJ1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1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8.2500000000000004E-3</v>
      </c>
      <c r="AL195" s="372">
        <f>IF(ISTEXT(RawMaterials[[#This Row],[Unit price in quote year]]),"Check calcs",RawMaterials[[#This Row],[Unit price in quote year]]/VLOOKUP(RawMaterials[[#This Row],[Quote Year]],ChemPPI[],14,FALSE)*VLOOKUP(BasisYear,ChemPPI[],14,FALSE))</f>
        <v>9.6559795508490056E-3</v>
      </c>
      <c r="AM195" s="373" t="str">
        <f t="shared" si="2"/>
        <v>$/lb (2016)</v>
      </c>
    </row>
    <row r="196" spans="1:39">
      <c r="A196" s="263" t="s">
        <v>1301</v>
      </c>
      <c r="B196" s="264"/>
      <c r="C196" s="271"/>
      <c r="D196" s="365"/>
      <c r="E196" s="264">
        <v>100</v>
      </c>
      <c r="F196" s="264"/>
      <c r="G196" s="271"/>
      <c r="H196" s="271"/>
      <c r="I196" s="268"/>
      <c r="J196" s="271"/>
      <c r="K196" s="271"/>
      <c r="L196" s="271"/>
      <c r="M196" s="271"/>
      <c r="N196" s="271"/>
      <c r="O196" s="271"/>
      <c r="P196" s="265">
        <v>0.88</v>
      </c>
      <c r="Q196" s="264">
        <v>1</v>
      </c>
      <c r="R196" s="264" t="s">
        <v>20</v>
      </c>
      <c r="S196" s="264">
        <v>2008</v>
      </c>
      <c r="T196" s="266" t="s">
        <v>163</v>
      </c>
      <c r="U196" s="267">
        <v>42653</v>
      </c>
      <c r="V196" s="269"/>
      <c r="W196" s="366">
        <f>COUNT(RawMaterials[[#This Row],[Lab Quantity 1]:[Lab Quantity 4]])</f>
        <v>0</v>
      </c>
      <c r="X1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6" s="367" t="e">
        <f>RawMaterials[[#This Row],[Lab Price 1]]/RawMaterials[[#This Row],[Lab Q Model Units 1]]</f>
        <v>#N/A</v>
      </c>
      <c r="AC196" s="367" t="e">
        <f>RawMaterials[[#This Row],[Lab Price 2]]/RawMaterials[[#This Row],[Lab Q Model Units 2]]</f>
        <v>#N/A</v>
      </c>
      <c r="AD196" s="367" t="e">
        <f>RawMaterials[[#This Row],[Lab Price 3]]/RawMaterials[[#This Row],[Lab Q Model Units 3]]</f>
        <v>#N/A</v>
      </c>
      <c r="AE196" s="367" t="e">
        <f>RawMaterials[[#This Row],[Lab Price 4]]/RawMaterials[[#This Row],[Lab Q Model Units 4]]</f>
        <v>#N/A</v>
      </c>
      <c r="AF196" s="367" t="str">
        <f ca="1">IF(RawMaterials[[#This Row],[Lab Quote Count]]&gt;1,SLOPE(LOG(INDIRECT("RawMaterials[@[Lab Unit P 1]:[Lab Unit P "&amp;RawMaterials[[#This Row],[Lab Quote Count]]&amp;"]]")),LOG(INDIRECT("RawMaterials[@[Lab Q Model Units 1]:[Lab Q Model Units "&amp;RawMaterials[[#This Row],[Lab Quote Count]]&amp;"]]"))),"")</f>
        <v/>
      </c>
      <c r="AG196" s="367" t="str">
        <f ca="1">IF(RawMaterials[[#This Row],[Lab Quote Count]]&gt;1,INTERCEPT(LOG(INDIRECT("RawMaterials[@[Lab Unit P 1]:[Lab Unit P "&amp;RawMaterials[[#This Row],[Lab Quote Count]]&amp;"]]")),LOG(INDIRECT("RawMaterials[@[Lab Q Model Units 1]:[Lab Q Model Units "&amp;RawMaterials[[#This Row],[Lab Quote Count]]&amp;"]]"))),"")</f>
        <v/>
      </c>
      <c r="AH196" s="368" t="str">
        <f>IF(RawMaterials[[#This Row],[Material Type]]="Metal Precursor","D13",IF(RawMaterials[[#This Row],[Material Type]]="Ligand","D13","D12"))</f>
        <v>D12</v>
      </c>
      <c r="AI196" s="369" t="str">
        <f ca="1">IF(RawMaterials[[#This Row],[Lab Quote Count]]&gt;1,10^RawMaterials[[#This Row],[Lab Log-Log Intercept]]*INDIRECT(RawMaterials[[#This Row],[Basis Cell]])^RawMaterials[[#This Row],[Lab Log-Log Slope]],"&gt;&gt;&gt; Enter 2 or more lab quotes &lt;&lt;&lt;")</f>
        <v>&gt;&gt;&gt; Enter 2 or more lab quotes &lt;&lt;&lt;</v>
      </c>
      <c r="AJ1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196" s="372">
        <f>IF(ISTEXT(RawMaterials[[#This Row],[Unit price in quote year]]),"Check calcs",RawMaterials[[#This Row],[Unit price in quote year]]/VLOOKUP(RawMaterials[[#This Row],[Quote Year]],ChemPPI[],14,FALSE)*VLOOKUP(BasisYear,ChemPPI[],14,FALSE))</f>
        <v>1.0299711520905606</v>
      </c>
      <c r="AM196" s="373" t="str">
        <f t="shared" si="2"/>
        <v>$/lb (2016)</v>
      </c>
    </row>
    <row r="197" spans="1:39">
      <c r="A197" s="263" t="s">
        <v>1302</v>
      </c>
      <c r="B197" s="264"/>
      <c r="C197" s="271"/>
      <c r="D197" s="365"/>
      <c r="E197" s="264">
        <v>100</v>
      </c>
      <c r="F197" s="264"/>
      <c r="G197" s="271"/>
      <c r="H197" s="271"/>
      <c r="I197" s="268"/>
      <c r="J197" s="271"/>
      <c r="K197" s="271"/>
      <c r="L197" s="271"/>
      <c r="M197" s="271"/>
      <c r="N197" s="271"/>
      <c r="O197" s="271"/>
      <c r="P197" s="265">
        <v>0.78</v>
      </c>
      <c r="Q197" s="264">
        <v>1</v>
      </c>
      <c r="R197" s="264" t="s">
        <v>20</v>
      </c>
      <c r="S197" s="264">
        <v>2008</v>
      </c>
      <c r="T197" s="266" t="s">
        <v>163</v>
      </c>
      <c r="U197" s="267">
        <v>42653</v>
      </c>
      <c r="V197" s="269"/>
      <c r="W197" s="366">
        <f>COUNT(RawMaterials[[#This Row],[Lab Quantity 1]:[Lab Quantity 4]])</f>
        <v>0</v>
      </c>
      <c r="X1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7" s="367" t="e">
        <f>RawMaterials[[#This Row],[Lab Price 1]]/RawMaterials[[#This Row],[Lab Q Model Units 1]]</f>
        <v>#N/A</v>
      </c>
      <c r="AC197" s="367" t="e">
        <f>RawMaterials[[#This Row],[Lab Price 2]]/RawMaterials[[#This Row],[Lab Q Model Units 2]]</f>
        <v>#N/A</v>
      </c>
      <c r="AD197" s="367" t="e">
        <f>RawMaterials[[#This Row],[Lab Price 3]]/RawMaterials[[#This Row],[Lab Q Model Units 3]]</f>
        <v>#N/A</v>
      </c>
      <c r="AE197" s="367" t="e">
        <f>RawMaterials[[#This Row],[Lab Price 4]]/RawMaterials[[#This Row],[Lab Q Model Units 4]]</f>
        <v>#N/A</v>
      </c>
      <c r="AF197" s="367" t="str">
        <f ca="1">IF(RawMaterials[[#This Row],[Lab Quote Count]]&gt;1,SLOPE(LOG(INDIRECT("RawMaterials[@[Lab Unit P 1]:[Lab Unit P "&amp;RawMaterials[[#This Row],[Lab Quote Count]]&amp;"]]")),LOG(INDIRECT("RawMaterials[@[Lab Q Model Units 1]:[Lab Q Model Units "&amp;RawMaterials[[#This Row],[Lab Quote Count]]&amp;"]]"))),"")</f>
        <v/>
      </c>
      <c r="AG197" s="367" t="str">
        <f ca="1">IF(RawMaterials[[#This Row],[Lab Quote Count]]&gt;1,INTERCEPT(LOG(INDIRECT("RawMaterials[@[Lab Unit P 1]:[Lab Unit P "&amp;RawMaterials[[#This Row],[Lab Quote Count]]&amp;"]]")),LOG(INDIRECT("RawMaterials[@[Lab Q Model Units 1]:[Lab Q Model Units "&amp;RawMaterials[[#This Row],[Lab Quote Count]]&amp;"]]"))),"")</f>
        <v/>
      </c>
      <c r="AH197" s="368" t="str">
        <f>IF(RawMaterials[[#This Row],[Material Type]]="Metal Precursor","D13",IF(RawMaterials[[#This Row],[Material Type]]="Ligand","D13","D12"))</f>
        <v>D12</v>
      </c>
      <c r="AI197" s="369" t="str">
        <f ca="1">IF(RawMaterials[[#This Row],[Lab Quote Count]]&gt;1,10^RawMaterials[[#This Row],[Lab Log-Log Intercept]]*INDIRECT(RawMaterials[[#This Row],[Basis Cell]])^RawMaterials[[#This Row],[Lab Log-Log Slope]],"&gt;&gt;&gt; Enter 2 or more lab quotes &lt;&lt;&lt;")</f>
        <v>&gt;&gt;&gt; Enter 2 or more lab quotes &lt;&lt;&lt;</v>
      </c>
      <c r="AJ1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v>
      </c>
      <c r="AL197" s="372">
        <f>IF(ISTEXT(RawMaterials[[#This Row],[Unit price in quote year]]),"Check calcs",RawMaterials[[#This Row],[Unit price in quote year]]/VLOOKUP(RawMaterials[[#This Row],[Quote Year]],ChemPPI[],14,FALSE)*VLOOKUP(BasisYear,ChemPPI[],14,FALSE))</f>
        <v>0.91292897571663334</v>
      </c>
      <c r="AM197" s="373" t="str">
        <f t="shared" si="2"/>
        <v>$/lb (2016)</v>
      </c>
    </row>
    <row r="198" spans="1:39">
      <c r="A198" s="263" t="s">
        <v>1303</v>
      </c>
      <c r="B198" s="264"/>
      <c r="C198" s="271"/>
      <c r="D198" s="365"/>
      <c r="E198" s="264">
        <v>100</v>
      </c>
      <c r="F198" s="264"/>
      <c r="G198" s="271"/>
      <c r="H198" s="271"/>
      <c r="I198" s="268"/>
      <c r="J198" s="271"/>
      <c r="K198" s="271"/>
      <c r="L198" s="271"/>
      <c r="M198" s="271"/>
      <c r="N198" s="271"/>
      <c r="O198" s="271"/>
      <c r="P198" s="265">
        <v>1.37</v>
      </c>
      <c r="Q198" s="264">
        <v>1</v>
      </c>
      <c r="R198" s="264" t="s">
        <v>20</v>
      </c>
      <c r="S198" s="264">
        <v>2008</v>
      </c>
      <c r="T198" s="266" t="s">
        <v>163</v>
      </c>
      <c r="U198" s="267">
        <v>42653</v>
      </c>
      <c r="V198" s="269"/>
      <c r="W198" s="366">
        <f>COUNT(RawMaterials[[#This Row],[Lab Quantity 1]:[Lab Quantity 4]])</f>
        <v>0</v>
      </c>
      <c r="X1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8" s="367" t="e">
        <f>RawMaterials[[#This Row],[Lab Price 1]]/RawMaterials[[#This Row],[Lab Q Model Units 1]]</f>
        <v>#N/A</v>
      </c>
      <c r="AC198" s="367" t="e">
        <f>RawMaterials[[#This Row],[Lab Price 2]]/RawMaterials[[#This Row],[Lab Q Model Units 2]]</f>
        <v>#N/A</v>
      </c>
      <c r="AD198" s="367" t="e">
        <f>RawMaterials[[#This Row],[Lab Price 3]]/RawMaterials[[#This Row],[Lab Q Model Units 3]]</f>
        <v>#N/A</v>
      </c>
      <c r="AE198" s="367" t="e">
        <f>RawMaterials[[#This Row],[Lab Price 4]]/RawMaterials[[#This Row],[Lab Q Model Units 4]]</f>
        <v>#N/A</v>
      </c>
      <c r="AF198" s="367" t="str">
        <f ca="1">IF(RawMaterials[[#This Row],[Lab Quote Count]]&gt;1,SLOPE(LOG(INDIRECT("RawMaterials[@[Lab Unit P 1]:[Lab Unit P "&amp;RawMaterials[[#This Row],[Lab Quote Count]]&amp;"]]")),LOG(INDIRECT("RawMaterials[@[Lab Q Model Units 1]:[Lab Q Model Units "&amp;RawMaterials[[#This Row],[Lab Quote Count]]&amp;"]]"))),"")</f>
        <v/>
      </c>
      <c r="AG198" s="367" t="str">
        <f ca="1">IF(RawMaterials[[#This Row],[Lab Quote Count]]&gt;1,INTERCEPT(LOG(INDIRECT("RawMaterials[@[Lab Unit P 1]:[Lab Unit P "&amp;RawMaterials[[#This Row],[Lab Quote Count]]&amp;"]]")),LOG(INDIRECT("RawMaterials[@[Lab Q Model Units 1]:[Lab Q Model Units "&amp;RawMaterials[[#This Row],[Lab Quote Count]]&amp;"]]"))),"")</f>
        <v/>
      </c>
      <c r="AH198" s="368" t="str">
        <f>IF(RawMaterials[[#This Row],[Material Type]]="Metal Precursor","D13",IF(RawMaterials[[#This Row],[Material Type]]="Ligand","D13","D12"))</f>
        <v>D12</v>
      </c>
      <c r="AI198" s="369" t="str">
        <f ca="1">IF(RawMaterials[[#This Row],[Lab Quote Count]]&gt;1,10^RawMaterials[[#This Row],[Lab Log-Log Intercept]]*INDIRECT(RawMaterials[[#This Row],[Basis Cell]])^RawMaterials[[#This Row],[Lab Log-Log Slope]],"&gt;&gt;&gt; Enter 2 or more lab quotes &lt;&lt;&lt;")</f>
        <v>&gt;&gt;&gt; Enter 2 or more lab quotes &lt;&lt;&lt;</v>
      </c>
      <c r="AJ1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v>
      </c>
      <c r="AL198" s="372">
        <f>IF(ISTEXT(RawMaterials[[#This Row],[Unit price in quote year]]),"Check calcs",RawMaterials[[#This Row],[Unit price in quote year]]/VLOOKUP(RawMaterials[[#This Row],[Quote Year]],ChemPPI[],14,FALSE)*VLOOKUP(BasisYear,ChemPPI[],14,FALSE))</f>
        <v>1.6034778163228045</v>
      </c>
      <c r="AM198" s="373" t="str">
        <f t="shared" si="2"/>
        <v>$/lb (2016)</v>
      </c>
    </row>
    <row r="199" spans="1:39">
      <c r="A199" s="263" t="s">
        <v>1304</v>
      </c>
      <c r="B199" s="264"/>
      <c r="C199" s="271"/>
      <c r="D199" s="365"/>
      <c r="E199" s="264">
        <v>100</v>
      </c>
      <c r="F199" s="264"/>
      <c r="G199" s="271"/>
      <c r="H199" s="271"/>
      <c r="I199" s="268"/>
      <c r="J199" s="271"/>
      <c r="K199" s="271"/>
      <c r="L199" s="271"/>
      <c r="M199" s="271"/>
      <c r="N199" s="271"/>
      <c r="O199" s="271"/>
      <c r="P199" s="265">
        <v>325.5</v>
      </c>
      <c r="Q199" s="264">
        <v>1</v>
      </c>
      <c r="R199" s="264" t="s">
        <v>20</v>
      </c>
      <c r="S199" s="264">
        <v>2006</v>
      </c>
      <c r="T199" s="266" t="s">
        <v>163</v>
      </c>
      <c r="U199" s="267">
        <v>42653</v>
      </c>
      <c r="V199" s="269"/>
      <c r="W199" s="366">
        <f>COUNT(RawMaterials[[#This Row],[Lab Quantity 1]:[Lab Quantity 4]])</f>
        <v>0</v>
      </c>
      <c r="X1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1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1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1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199" s="367" t="e">
        <f>RawMaterials[[#This Row],[Lab Price 1]]/RawMaterials[[#This Row],[Lab Q Model Units 1]]</f>
        <v>#N/A</v>
      </c>
      <c r="AC199" s="367" t="e">
        <f>RawMaterials[[#This Row],[Lab Price 2]]/RawMaterials[[#This Row],[Lab Q Model Units 2]]</f>
        <v>#N/A</v>
      </c>
      <c r="AD199" s="367" t="e">
        <f>RawMaterials[[#This Row],[Lab Price 3]]/RawMaterials[[#This Row],[Lab Q Model Units 3]]</f>
        <v>#N/A</v>
      </c>
      <c r="AE199" s="367" t="e">
        <f>RawMaterials[[#This Row],[Lab Price 4]]/RawMaterials[[#This Row],[Lab Q Model Units 4]]</f>
        <v>#N/A</v>
      </c>
      <c r="AF199" s="367" t="str">
        <f ca="1">IF(RawMaterials[[#This Row],[Lab Quote Count]]&gt;1,SLOPE(LOG(INDIRECT("RawMaterials[@[Lab Unit P 1]:[Lab Unit P "&amp;RawMaterials[[#This Row],[Lab Quote Count]]&amp;"]]")),LOG(INDIRECT("RawMaterials[@[Lab Q Model Units 1]:[Lab Q Model Units "&amp;RawMaterials[[#This Row],[Lab Quote Count]]&amp;"]]"))),"")</f>
        <v/>
      </c>
      <c r="AG199" s="367" t="str">
        <f ca="1">IF(RawMaterials[[#This Row],[Lab Quote Count]]&gt;1,INTERCEPT(LOG(INDIRECT("RawMaterials[@[Lab Unit P 1]:[Lab Unit P "&amp;RawMaterials[[#This Row],[Lab Quote Count]]&amp;"]]")),LOG(INDIRECT("RawMaterials[@[Lab Q Model Units 1]:[Lab Q Model Units "&amp;RawMaterials[[#This Row],[Lab Quote Count]]&amp;"]]"))),"")</f>
        <v/>
      </c>
      <c r="AH199" s="368" t="str">
        <f>IF(RawMaterials[[#This Row],[Material Type]]="Metal Precursor","D13",IF(RawMaterials[[#This Row],[Material Type]]="Ligand","D13","D12"))</f>
        <v>D12</v>
      </c>
      <c r="AI199" s="369" t="str">
        <f ca="1">IF(RawMaterials[[#This Row],[Lab Quote Count]]&gt;1,10^RawMaterials[[#This Row],[Lab Log-Log Intercept]]*INDIRECT(RawMaterials[[#This Row],[Basis Cell]])^RawMaterials[[#This Row],[Lab Log-Log Slope]],"&gt;&gt;&gt; Enter 2 or more lab quotes &lt;&lt;&lt;")</f>
        <v>&gt;&gt;&gt; Enter 2 or more lab quotes &lt;&lt;&lt;</v>
      </c>
      <c r="AJ1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1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325.5</v>
      </c>
      <c r="AL199" s="372">
        <f>IF(ISTEXT(RawMaterials[[#This Row],[Unit price in quote year]]),"Check calcs",RawMaterials[[#This Row],[Unit price in quote year]]/VLOOKUP(RawMaterials[[#This Row],[Quote Year]],ChemPPI[],14,FALSE)*VLOOKUP(BasisYear,ChemPPI[],14,FALSE))</f>
        <v>441.77362804878055</v>
      </c>
      <c r="AM199" s="373" t="str">
        <f t="shared" si="2"/>
        <v>$/lb (2016)</v>
      </c>
    </row>
    <row r="200" spans="1:39">
      <c r="A200" s="263" t="s">
        <v>1305</v>
      </c>
      <c r="B200" s="264"/>
      <c r="C200" s="271"/>
      <c r="D200" s="365"/>
      <c r="E200" s="264">
        <v>100</v>
      </c>
      <c r="F200" s="264"/>
      <c r="G200" s="271"/>
      <c r="H200" s="271"/>
      <c r="I200" s="268"/>
      <c r="J200" s="271"/>
      <c r="K200" s="271"/>
      <c r="L200" s="271"/>
      <c r="M200" s="271"/>
      <c r="N200" s="271"/>
      <c r="O200" s="271"/>
      <c r="P200" s="265">
        <v>2.5</v>
      </c>
      <c r="Q200" s="264">
        <v>1</v>
      </c>
      <c r="R200" s="264" t="s">
        <v>406</v>
      </c>
      <c r="S200" s="264">
        <v>2006</v>
      </c>
      <c r="T200" s="266" t="s">
        <v>163</v>
      </c>
      <c r="U200" s="267">
        <v>42653</v>
      </c>
      <c r="V200" s="269"/>
      <c r="W200" s="366">
        <f>COUNT(RawMaterials[[#This Row],[Lab Quantity 1]:[Lab Quantity 4]])</f>
        <v>0</v>
      </c>
      <c r="X2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0" s="367" t="e">
        <f>RawMaterials[[#This Row],[Lab Price 1]]/RawMaterials[[#This Row],[Lab Q Model Units 1]]</f>
        <v>#N/A</v>
      </c>
      <c r="AC200" s="367" t="e">
        <f>RawMaterials[[#This Row],[Lab Price 2]]/RawMaterials[[#This Row],[Lab Q Model Units 2]]</f>
        <v>#N/A</v>
      </c>
      <c r="AD200" s="367" t="e">
        <f>RawMaterials[[#This Row],[Lab Price 3]]/RawMaterials[[#This Row],[Lab Q Model Units 3]]</f>
        <v>#N/A</v>
      </c>
      <c r="AE200" s="367" t="e">
        <f>RawMaterials[[#This Row],[Lab Price 4]]/RawMaterials[[#This Row],[Lab Q Model Units 4]]</f>
        <v>#N/A</v>
      </c>
      <c r="AF200" s="367" t="str">
        <f ca="1">IF(RawMaterials[[#This Row],[Lab Quote Count]]&gt;1,SLOPE(LOG(INDIRECT("RawMaterials[@[Lab Unit P 1]:[Lab Unit P "&amp;RawMaterials[[#This Row],[Lab Quote Count]]&amp;"]]")),LOG(INDIRECT("RawMaterials[@[Lab Q Model Units 1]:[Lab Q Model Units "&amp;RawMaterials[[#This Row],[Lab Quote Count]]&amp;"]]"))),"")</f>
        <v/>
      </c>
      <c r="AG200" s="367" t="str">
        <f ca="1">IF(RawMaterials[[#This Row],[Lab Quote Count]]&gt;1,INTERCEPT(LOG(INDIRECT("RawMaterials[@[Lab Unit P 1]:[Lab Unit P "&amp;RawMaterials[[#This Row],[Lab Quote Count]]&amp;"]]")),LOG(INDIRECT("RawMaterials[@[Lab Q Model Units 1]:[Lab Q Model Units "&amp;RawMaterials[[#This Row],[Lab Quote Count]]&amp;"]]"))),"")</f>
        <v/>
      </c>
      <c r="AH200" s="368" t="str">
        <f>IF(RawMaterials[[#This Row],[Material Type]]="Metal Precursor","D13",IF(RawMaterials[[#This Row],[Material Type]]="Ligand","D13","D12"))</f>
        <v>D12</v>
      </c>
      <c r="AI200" s="369" t="str">
        <f ca="1">IF(RawMaterials[[#This Row],[Lab Quote Count]]&gt;1,10^RawMaterials[[#This Row],[Lab Log-Log Intercept]]*INDIRECT(RawMaterials[[#This Row],[Basis Cell]])^RawMaterials[[#This Row],[Lab Log-Log Slope]],"&gt;&gt;&gt; Enter 2 or more lab quotes &lt;&lt;&lt;")</f>
        <v>&gt;&gt;&gt; Enter 2 or more lab quotes &lt;&lt;&lt;</v>
      </c>
      <c r="AJ2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1.25E-3</v>
      </c>
      <c r="AL200" s="372">
        <f>IF(ISTEXT(RawMaterials[[#This Row],[Unit price in quote year]]),"Check calcs",RawMaterials[[#This Row],[Unit price in quote year]]/VLOOKUP(RawMaterials[[#This Row],[Quote Year]],ChemPPI[],14,FALSE)*VLOOKUP(BasisYear,ChemPPI[],14,FALSE))</f>
        <v>1.6965193089430897E-3</v>
      </c>
      <c r="AM200" s="373" t="str">
        <f t="shared" si="2"/>
        <v>$/lb (2016)</v>
      </c>
    </row>
    <row r="201" spans="1:39">
      <c r="A201" s="263" t="s">
        <v>1306</v>
      </c>
      <c r="B201" s="264"/>
      <c r="C201" s="271"/>
      <c r="D201" s="365"/>
      <c r="E201" s="264">
        <v>100</v>
      </c>
      <c r="F201" s="264"/>
      <c r="G201" s="271"/>
      <c r="H201" s="271"/>
      <c r="I201" s="268"/>
      <c r="J201" s="271"/>
      <c r="K201" s="271"/>
      <c r="L201" s="271"/>
      <c r="M201" s="271"/>
      <c r="N201" s="271"/>
      <c r="O201" s="271"/>
      <c r="P201" s="265">
        <v>166</v>
      </c>
      <c r="Q201" s="264">
        <v>1</v>
      </c>
      <c r="R201" s="264" t="s">
        <v>20</v>
      </c>
      <c r="S201" s="264">
        <v>2006</v>
      </c>
      <c r="T201" s="266" t="s">
        <v>163</v>
      </c>
      <c r="U201" s="267">
        <v>42653</v>
      </c>
      <c r="V201" s="269"/>
      <c r="W201" s="366">
        <f>COUNT(RawMaterials[[#This Row],[Lab Quantity 1]:[Lab Quantity 4]])</f>
        <v>0</v>
      </c>
      <c r="X2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1" s="367" t="e">
        <f>RawMaterials[[#This Row],[Lab Price 1]]/RawMaterials[[#This Row],[Lab Q Model Units 1]]</f>
        <v>#N/A</v>
      </c>
      <c r="AC201" s="367" t="e">
        <f>RawMaterials[[#This Row],[Lab Price 2]]/RawMaterials[[#This Row],[Lab Q Model Units 2]]</f>
        <v>#N/A</v>
      </c>
      <c r="AD201" s="367" t="e">
        <f>RawMaterials[[#This Row],[Lab Price 3]]/RawMaterials[[#This Row],[Lab Q Model Units 3]]</f>
        <v>#N/A</v>
      </c>
      <c r="AE201" s="367" t="e">
        <f>RawMaterials[[#This Row],[Lab Price 4]]/RawMaterials[[#This Row],[Lab Q Model Units 4]]</f>
        <v>#N/A</v>
      </c>
      <c r="AF201" s="367" t="str">
        <f ca="1">IF(RawMaterials[[#This Row],[Lab Quote Count]]&gt;1,SLOPE(LOG(INDIRECT("RawMaterials[@[Lab Unit P 1]:[Lab Unit P "&amp;RawMaterials[[#This Row],[Lab Quote Count]]&amp;"]]")),LOG(INDIRECT("RawMaterials[@[Lab Q Model Units 1]:[Lab Q Model Units "&amp;RawMaterials[[#This Row],[Lab Quote Count]]&amp;"]]"))),"")</f>
        <v/>
      </c>
      <c r="AG201" s="367" t="str">
        <f ca="1">IF(RawMaterials[[#This Row],[Lab Quote Count]]&gt;1,INTERCEPT(LOG(INDIRECT("RawMaterials[@[Lab Unit P 1]:[Lab Unit P "&amp;RawMaterials[[#This Row],[Lab Quote Count]]&amp;"]]")),LOG(INDIRECT("RawMaterials[@[Lab Q Model Units 1]:[Lab Q Model Units "&amp;RawMaterials[[#This Row],[Lab Quote Count]]&amp;"]]"))),"")</f>
        <v/>
      </c>
      <c r="AH201" s="368" t="str">
        <f>IF(RawMaterials[[#This Row],[Material Type]]="Metal Precursor","D13",IF(RawMaterials[[#This Row],[Material Type]]="Ligand","D13","D12"))</f>
        <v>D12</v>
      </c>
      <c r="AI201" s="369" t="str">
        <f ca="1">IF(RawMaterials[[#This Row],[Lab Quote Count]]&gt;1,10^RawMaterials[[#This Row],[Lab Log-Log Intercept]]*INDIRECT(RawMaterials[[#This Row],[Basis Cell]])^RawMaterials[[#This Row],[Lab Log-Log Slope]],"&gt;&gt;&gt; Enter 2 or more lab quotes &lt;&lt;&lt;")</f>
        <v>&gt;&gt;&gt; Enter 2 or more lab quotes &lt;&lt;&lt;</v>
      </c>
      <c r="AJ2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v>
      </c>
      <c r="AL201" s="372">
        <f>IF(ISTEXT(RawMaterials[[#This Row],[Unit price in quote year]]),"Check calcs",RawMaterials[[#This Row],[Unit price in quote year]]/VLOOKUP(RawMaterials[[#This Row],[Quote Year]],ChemPPI[],14,FALSE)*VLOOKUP(BasisYear,ChemPPI[],14,FALSE))</f>
        <v>225.29776422764232</v>
      </c>
      <c r="AM201" s="373" t="str">
        <f t="shared" si="2"/>
        <v>$/lb (2016)</v>
      </c>
    </row>
    <row r="202" spans="1:39">
      <c r="A202" s="263" t="s">
        <v>1307</v>
      </c>
      <c r="B202" s="264"/>
      <c r="C202" s="271"/>
      <c r="D202" s="365"/>
      <c r="E202" s="264">
        <v>100</v>
      </c>
      <c r="F202" s="264"/>
      <c r="G202" s="271"/>
      <c r="H202" s="271"/>
      <c r="I202" s="268"/>
      <c r="J202" s="271"/>
      <c r="K202" s="271"/>
      <c r="L202" s="271"/>
      <c r="M202" s="271"/>
      <c r="N202" s="271"/>
      <c r="O202" s="271"/>
      <c r="P202" s="265">
        <v>12.5</v>
      </c>
      <c r="Q202" s="264">
        <v>1</v>
      </c>
      <c r="R202" s="264" t="s">
        <v>406</v>
      </c>
      <c r="S202" s="264">
        <v>2006</v>
      </c>
      <c r="T202" s="266" t="s">
        <v>163</v>
      </c>
      <c r="U202" s="267">
        <v>42653</v>
      </c>
      <c r="V202" s="269"/>
      <c r="W202" s="366">
        <f>COUNT(RawMaterials[[#This Row],[Lab Quantity 1]:[Lab Quantity 4]])</f>
        <v>0</v>
      </c>
      <c r="X2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2" s="367" t="e">
        <f>RawMaterials[[#This Row],[Lab Price 1]]/RawMaterials[[#This Row],[Lab Q Model Units 1]]</f>
        <v>#N/A</v>
      </c>
      <c r="AC202" s="367" t="e">
        <f>RawMaterials[[#This Row],[Lab Price 2]]/RawMaterials[[#This Row],[Lab Q Model Units 2]]</f>
        <v>#N/A</v>
      </c>
      <c r="AD202" s="367" t="e">
        <f>RawMaterials[[#This Row],[Lab Price 3]]/RawMaterials[[#This Row],[Lab Q Model Units 3]]</f>
        <v>#N/A</v>
      </c>
      <c r="AE202" s="367" t="e">
        <f>RawMaterials[[#This Row],[Lab Price 4]]/RawMaterials[[#This Row],[Lab Q Model Units 4]]</f>
        <v>#N/A</v>
      </c>
      <c r="AF202" s="367" t="str">
        <f ca="1">IF(RawMaterials[[#This Row],[Lab Quote Count]]&gt;1,SLOPE(LOG(INDIRECT("RawMaterials[@[Lab Unit P 1]:[Lab Unit P "&amp;RawMaterials[[#This Row],[Lab Quote Count]]&amp;"]]")),LOG(INDIRECT("RawMaterials[@[Lab Q Model Units 1]:[Lab Q Model Units "&amp;RawMaterials[[#This Row],[Lab Quote Count]]&amp;"]]"))),"")</f>
        <v/>
      </c>
      <c r="AG202" s="367" t="str">
        <f ca="1">IF(RawMaterials[[#This Row],[Lab Quote Count]]&gt;1,INTERCEPT(LOG(INDIRECT("RawMaterials[@[Lab Unit P 1]:[Lab Unit P "&amp;RawMaterials[[#This Row],[Lab Quote Count]]&amp;"]]")),LOG(INDIRECT("RawMaterials[@[Lab Q Model Units 1]:[Lab Q Model Units "&amp;RawMaterials[[#This Row],[Lab Quote Count]]&amp;"]]"))),"")</f>
        <v/>
      </c>
      <c r="AH202" s="368" t="str">
        <f>IF(RawMaterials[[#This Row],[Material Type]]="Metal Precursor","D13",IF(RawMaterials[[#This Row],[Material Type]]="Ligand","D13","D12"))</f>
        <v>D12</v>
      </c>
      <c r="AI202" s="369" t="str">
        <f ca="1">IF(RawMaterials[[#This Row],[Lab Quote Count]]&gt;1,10^RawMaterials[[#This Row],[Lab Log-Log Intercept]]*INDIRECT(RawMaterials[[#This Row],[Basis Cell]])^RawMaterials[[#This Row],[Lab Log-Log Slope]],"&gt;&gt;&gt; Enter 2 or more lab quotes &lt;&lt;&lt;")</f>
        <v>&gt;&gt;&gt; Enter 2 or more lab quotes &lt;&lt;&lt;</v>
      </c>
      <c r="AJ2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6.2500000000000003E-3</v>
      </c>
      <c r="AL202" s="372">
        <f>IF(ISTEXT(RawMaterials[[#This Row],[Unit price in quote year]]),"Check calcs",RawMaterials[[#This Row],[Unit price in quote year]]/VLOOKUP(RawMaterials[[#This Row],[Quote Year]],ChemPPI[],14,FALSE)*VLOOKUP(BasisYear,ChemPPI[],14,FALSE))</f>
        <v>8.4825965447154483E-3</v>
      </c>
      <c r="AM202" s="373" t="str">
        <f t="shared" si="2"/>
        <v>$/lb (2016)</v>
      </c>
    </row>
    <row r="203" spans="1:39">
      <c r="A203" s="263" t="s">
        <v>1308</v>
      </c>
      <c r="B203" s="264"/>
      <c r="C203" s="271"/>
      <c r="D203" s="365"/>
      <c r="E203" s="264">
        <v>100</v>
      </c>
      <c r="F203" s="264"/>
      <c r="G203" s="271"/>
      <c r="H203" s="271"/>
      <c r="I203" s="268"/>
      <c r="J203" s="271"/>
      <c r="K203" s="271"/>
      <c r="L203" s="271"/>
      <c r="M203" s="271"/>
      <c r="N203" s="271"/>
      <c r="O203" s="271"/>
      <c r="P203" s="265">
        <v>0.55000000000000004</v>
      </c>
      <c r="Q203" s="264">
        <v>1</v>
      </c>
      <c r="R203" s="264" t="s">
        <v>20</v>
      </c>
      <c r="S203" s="264">
        <v>2006</v>
      </c>
      <c r="T203" s="266" t="s">
        <v>163</v>
      </c>
      <c r="U203" s="267">
        <v>42653</v>
      </c>
      <c r="V203" s="269"/>
      <c r="W203" s="366">
        <f>COUNT(RawMaterials[[#This Row],[Lab Quantity 1]:[Lab Quantity 4]])</f>
        <v>0</v>
      </c>
      <c r="X2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3" s="367" t="e">
        <f>RawMaterials[[#This Row],[Lab Price 1]]/RawMaterials[[#This Row],[Lab Q Model Units 1]]</f>
        <v>#N/A</v>
      </c>
      <c r="AC203" s="367" t="e">
        <f>RawMaterials[[#This Row],[Lab Price 2]]/RawMaterials[[#This Row],[Lab Q Model Units 2]]</f>
        <v>#N/A</v>
      </c>
      <c r="AD203" s="367" t="e">
        <f>RawMaterials[[#This Row],[Lab Price 3]]/RawMaterials[[#This Row],[Lab Q Model Units 3]]</f>
        <v>#N/A</v>
      </c>
      <c r="AE203" s="367" t="e">
        <f>RawMaterials[[#This Row],[Lab Price 4]]/RawMaterials[[#This Row],[Lab Q Model Units 4]]</f>
        <v>#N/A</v>
      </c>
      <c r="AF203" s="367" t="str">
        <f ca="1">IF(RawMaterials[[#This Row],[Lab Quote Count]]&gt;1,SLOPE(LOG(INDIRECT("RawMaterials[@[Lab Unit P 1]:[Lab Unit P "&amp;RawMaterials[[#This Row],[Lab Quote Count]]&amp;"]]")),LOG(INDIRECT("RawMaterials[@[Lab Q Model Units 1]:[Lab Q Model Units "&amp;RawMaterials[[#This Row],[Lab Quote Count]]&amp;"]]"))),"")</f>
        <v/>
      </c>
      <c r="AG203" s="367" t="str">
        <f ca="1">IF(RawMaterials[[#This Row],[Lab Quote Count]]&gt;1,INTERCEPT(LOG(INDIRECT("RawMaterials[@[Lab Unit P 1]:[Lab Unit P "&amp;RawMaterials[[#This Row],[Lab Quote Count]]&amp;"]]")),LOG(INDIRECT("RawMaterials[@[Lab Q Model Units 1]:[Lab Q Model Units "&amp;RawMaterials[[#This Row],[Lab Quote Count]]&amp;"]]"))),"")</f>
        <v/>
      </c>
      <c r="AH203" s="368" t="str">
        <f>IF(RawMaterials[[#This Row],[Material Type]]="Metal Precursor","D13",IF(RawMaterials[[#This Row],[Material Type]]="Ligand","D13","D12"))</f>
        <v>D12</v>
      </c>
      <c r="AI203" s="369" t="str">
        <f ca="1">IF(RawMaterials[[#This Row],[Lab Quote Count]]&gt;1,10^RawMaterials[[#This Row],[Lab Log-Log Intercept]]*INDIRECT(RawMaterials[[#This Row],[Basis Cell]])^RawMaterials[[#This Row],[Lab Log-Log Slope]],"&gt;&gt;&gt; Enter 2 or more lab quotes &lt;&lt;&lt;")</f>
        <v>&gt;&gt;&gt; Enter 2 or more lab quotes &lt;&lt;&lt;</v>
      </c>
      <c r="AJ2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203" s="372">
        <f>IF(ISTEXT(RawMaterials[[#This Row],[Unit price in quote year]]),"Check calcs",RawMaterials[[#This Row],[Unit price in quote year]]/VLOOKUP(RawMaterials[[#This Row],[Quote Year]],ChemPPI[],14,FALSE)*VLOOKUP(BasisYear,ChemPPI[],14,FALSE))</f>
        <v>0.74646849593495956</v>
      </c>
      <c r="AM203" s="373" t="str">
        <f t="shared" si="2"/>
        <v>$/lb (2016)</v>
      </c>
    </row>
    <row r="204" spans="1:39">
      <c r="A204" s="263" t="s">
        <v>1309</v>
      </c>
      <c r="B204" s="264"/>
      <c r="C204" s="271"/>
      <c r="D204" s="365"/>
      <c r="E204" s="264">
        <v>37</v>
      </c>
      <c r="F204" s="264"/>
      <c r="G204" s="271"/>
      <c r="H204" s="271"/>
      <c r="I204" s="268"/>
      <c r="J204" s="271"/>
      <c r="K204" s="271"/>
      <c r="L204" s="271"/>
      <c r="M204" s="271"/>
      <c r="N204" s="271"/>
      <c r="O204" s="271"/>
      <c r="P204" s="265">
        <v>0.21</v>
      </c>
      <c r="Q204" s="264">
        <v>1</v>
      </c>
      <c r="R204" s="264" t="s">
        <v>20</v>
      </c>
      <c r="S204" s="264">
        <v>2006</v>
      </c>
      <c r="T204" s="266" t="s">
        <v>163</v>
      </c>
      <c r="U204" s="267">
        <v>42653</v>
      </c>
      <c r="V204" s="269"/>
      <c r="W204" s="366">
        <f>COUNT(RawMaterials[[#This Row],[Lab Quantity 1]:[Lab Quantity 4]])</f>
        <v>0</v>
      </c>
      <c r="X2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4" s="367" t="e">
        <f>RawMaterials[[#This Row],[Lab Price 1]]/RawMaterials[[#This Row],[Lab Q Model Units 1]]</f>
        <v>#N/A</v>
      </c>
      <c r="AC204" s="367" t="e">
        <f>RawMaterials[[#This Row],[Lab Price 2]]/RawMaterials[[#This Row],[Lab Q Model Units 2]]</f>
        <v>#N/A</v>
      </c>
      <c r="AD204" s="367" t="e">
        <f>RawMaterials[[#This Row],[Lab Price 3]]/RawMaterials[[#This Row],[Lab Q Model Units 3]]</f>
        <v>#N/A</v>
      </c>
      <c r="AE204" s="367" t="e">
        <f>RawMaterials[[#This Row],[Lab Price 4]]/RawMaterials[[#This Row],[Lab Q Model Units 4]]</f>
        <v>#N/A</v>
      </c>
      <c r="AF204" s="367" t="str">
        <f ca="1">IF(RawMaterials[[#This Row],[Lab Quote Count]]&gt;1,SLOPE(LOG(INDIRECT("RawMaterials[@[Lab Unit P 1]:[Lab Unit P "&amp;RawMaterials[[#This Row],[Lab Quote Count]]&amp;"]]")),LOG(INDIRECT("RawMaterials[@[Lab Q Model Units 1]:[Lab Q Model Units "&amp;RawMaterials[[#This Row],[Lab Quote Count]]&amp;"]]"))),"")</f>
        <v/>
      </c>
      <c r="AG204" s="367" t="str">
        <f ca="1">IF(RawMaterials[[#This Row],[Lab Quote Count]]&gt;1,INTERCEPT(LOG(INDIRECT("RawMaterials[@[Lab Unit P 1]:[Lab Unit P "&amp;RawMaterials[[#This Row],[Lab Quote Count]]&amp;"]]")),LOG(INDIRECT("RawMaterials[@[Lab Q Model Units 1]:[Lab Q Model Units "&amp;RawMaterials[[#This Row],[Lab Quote Count]]&amp;"]]"))),"")</f>
        <v/>
      </c>
      <c r="AH204" s="368" t="str">
        <f>IF(RawMaterials[[#This Row],[Material Type]]="Metal Precursor","D13",IF(RawMaterials[[#This Row],[Material Type]]="Ligand","D13","D12"))</f>
        <v>D12</v>
      </c>
      <c r="AI204" s="369" t="str">
        <f ca="1">IF(RawMaterials[[#This Row],[Lab Quote Count]]&gt;1,10^RawMaterials[[#This Row],[Lab Log-Log Intercept]]*INDIRECT(RawMaterials[[#This Row],[Basis Cell]])^RawMaterials[[#This Row],[Lab Log-Log Slope]],"&gt;&gt;&gt; Enter 2 or more lab quotes &lt;&lt;&lt;")</f>
        <v>&gt;&gt;&gt; Enter 2 or more lab quotes &lt;&lt;&lt;</v>
      </c>
      <c r="AJ2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4" s="372">
        <f>IF(ISTEXT(RawMaterials[[#This Row],[Unit price in quote year]]),"Check calcs",RawMaterials[[#This Row],[Unit price in quote year]]/VLOOKUP(RawMaterials[[#This Row],[Quote Year]],ChemPPI[],14,FALSE)*VLOOKUP(BasisYear,ChemPPI[],14,FALSE))</f>
        <v>0.2850152439024391</v>
      </c>
      <c r="AM204" s="373" t="str">
        <f t="shared" si="2"/>
        <v>$/lb (2016)</v>
      </c>
    </row>
    <row r="205" spans="1:39">
      <c r="A205" s="263" t="s">
        <v>1310</v>
      </c>
      <c r="B205" s="264"/>
      <c r="C205" s="271"/>
      <c r="D205" s="365"/>
      <c r="E205" s="264">
        <v>37</v>
      </c>
      <c r="F205" s="264"/>
      <c r="G205" s="271"/>
      <c r="H205" s="271"/>
      <c r="I205" s="268"/>
      <c r="J205" s="271"/>
      <c r="K205" s="271"/>
      <c r="L205" s="271"/>
      <c r="M205" s="271"/>
      <c r="N205" s="271"/>
      <c r="O205" s="271"/>
      <c r="P205" s="265">
        <v>0.21</v>
      </c>
      <c r="Q205" s="264">
        <v>1</v>
      </c>
      <c r="R205" s="264" t="s">
        <v>20</v>
      </c>
      <c r="S205" s="264">
        <v>2006</v>
      </c>
      <c r="T205" s="266" t="s">
        <v>163</v>
      </c>
      <c r="U205" s="267">
        <v>42653</v>
      </c>
      <c r="V205" s="269"/>
      <c r="W205" s="366">
        <f>COUNT(RawMaterials[[#This Row],[Lab Quantity 1]:[Lab Quantity 4]])</f>
        <v>0</v>
      </c>
      <c r="X2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5" s="367" t="e">
        <f>RawMaterials[[#This Row],[Lab Price 1]]/RawMaterials[[#This Row],[Lab Q Model Units 1]]</f>
        <v>#N/A</v>
      </c>
      <c r="AC205" s="367" t="e">
        <f>RawMaterials[[#This Row],[Lab Price 2]]/RawMaterials[[#This Row],[Lab Q Model Units 2]]</f>
        <v>#N/A</v>
      </c>
      <c r="AD205" s="367" t="e">
        <f>RawMaterials[[#This Row],[Lab Price 3]]/RawMaterials[[#This Row],[Lab Q Model Units 3]]</f>
        <v>#N/A</v>
      </c>
      <c r="AE205" s="367" t="e">
        <f>RawMaterials[[#This Row],[Lab Price 4]]/RawMaterials[[#This Row],[Lab Q Model Units 4]]</f>
        <v>#N/A</v>
      </c>
      <c r="AF205" s="367" t="str">
        <f ca="1">IF(RawMaterials[[#This Row],[Lab Quote Count]]&gt;1,SLOPE(LOG(INDIRECT("RawMaterials[@[Lab Unit P 1]:[Lab Unit P "&amp;RawMaterials[[#This Row],[Lab Quote Count]]&amp;"]]")),LOG(INDIRECT("RawMaterials[@[Lab Q Model Units 1]:[Lab Q Model Units "&amp;RawMaterials[[#This Row],[Lab Quote Count]]&amp;"]]"))),"")</f>
        <v/>
      </c>
      <c r="AG205" s="367" t="str">
        <f ca="1">IF(RawMaterials[[#This Row],[Lab Quote Count]]&gt;1,INTERCEPT(LOG(INDIRECT("RawMaterials[@[Lab Unit P 1]:[Lab Unit P "&amp;RawMaterials[[#This Row],[Lab Quote Count]]&amp;"]]")),LOG(INDIRECT("RawMaterials[@[Lab Q Model Units 1]:[Lab Q Model Units "&amp;RawMaterials[[#This Row],[Lab Quote Count]]&amp;"]]"))),"")</f>
        <v/>
      </c>
      <c r="AH205" s="368" t="str">
        <f>IF(RawMaterials[[#This Row],[Material Type]]="Metal Precursor","D13",IF(RawMaterials[[#This Row],[Material Type]]="Ligand","D13","D12"))</f>
        <v>D12</v>
      </c>
      <c r="AI205" s="369" t="str">
        <f ca="1">IF(RawMaterials[[#This Row],[Lab Quote Count]]&gt;1,10^RawMaterials[[#This Row],[Lab Log-Log Intercept]]*INDIRECT(RawMaterials[[#This Row],[Basis Cell]])^RawMaterials[[#This Row],[Lab Log-Log Slope]],"&gt;&gt;&gt; Enter 2 or more lab quotes &lt;&lt;&lt;")</f>
        <v>&gt;&gt;&gt; Enter 2 or more lab quotes &lt;&lt;&lt;</v>
      </c>
      <c r="AJ2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5" s="372">
        <f>IF(ISTEXT(RawMaterials[[#This Row],[Unit price in quote year]]),"Check calcs",RawMaterials[[#This Row],[Unit price in quote year]]/VLOOKUP(RawMaterials[[#This Row],[Quote Year]],ChemPPI[],14,FALSE)*VLOOKUP(BasisYear,ChemPPI[],14,FALSE))</f>
        <v>0.2850152439024391</v>
      </c>
      <c r="AM205" s="373" t="str">
        <f t="shared" si="2"/>
        <v>$/lb (2016)</v>
      </c>
    </row>
    <row r="206" spans="1:39">
      <c r="A206" s="263" t="s">
        <v>1311</v>
      </c>
      <c r="B206" s="264"/>
      <c r="C206" s="271"/>
      <c r="D206" s="365"/>
      <c r="E206" s="264">
        <v>37</v>
      </c>
      <c r="F206" s="264"/>
      <c r="G206" s="271"/>
      <c r="H206" s="271"/>
      <c r="I206" s="268"/>
      <c r="J206" s="271"/>
      <c r="K206" s="271"/>
      <c r="L206" s="271"/>
      <c r="M206" s="271"/>
      <c r="N206" s="271"/>
      <c r="O206" s="271"/>
      <c r="P206" s="265">
        <v>0.21</v>
      </c>
      <c r="Q206" s="264">
        <v>1</v>
      </c>
      <c r="R206" s="264" t="s">
        <v>20</v>
      </c>
      <c r="S206" s="264">
        <v>2006</v>
      </c>
      <c r="T206" s="266" t="s">
        <v>163</v>
      </c>
      <c r="U206" s="267">
        <v>42653</v>
      </c>
      <c r="V206" s="269"/>
      <c r="W206" s="366">
        <f>COUNT(RawMaterials[[#This Row],[Lab Quantity 1]:[Lab Quantity 4]])</f>
        <v>0</v>
      </c>
      <c r="X2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6" s="367" t="e">
        <f>RawMaterials[[#This Row],[Lab Price 1]]/RawMaterials[[#This Row],[Lab Q Model Units 1]]</f>
        <v>#N/A</v>
      </c>
      <c r="AC206" s="367" t="e">
        <f>RawMaterials[[#This Row],[Lab Price 2]]/RawMaterials[[#This Row],[Lab Q Model Units 2]]</f>
        <v>#N/A</v>
      </c>
      <c r="AD206" s="367" t="e">
        <f>RawMaterials[[#This Row],[Lab Price 3]]/RawMaterials[[#This Row],[Lab Q Model Units 3]]</f>
        <v>#N/A</v>
      </c>
      <c r="AE206" s="367" t="e">
        <f>RawMaterials[[#This Row],[Lab Price 4]]/RawMaterials[[#This Row],[Lab Q Model Units 4]]</f>
        <v>#N/A</v>
      </c>
      <c r="AF206" s="367" t="str">
        <f ca="1">IF(RawMaterials[[#This Row],[Lab Quote Count]]&gt;1,SLOPE(LOG(INDIRECT("RawMaterials[@[Lab Unit P 1]:[Lab Unit P "&amp;RawMaterials[[#This Row],[Lab Quote Count]]&amp;"]]")),LOG(INDIRECT("RawMaterials[@[Lab Q Model Units 1]:[Lab Q Model Units "&amp;RawMaterials[[#This Row],[Lab Quote Count]]&amp;"]]"))),"")</f>
        <v/>
      </c>
      <c r="AG206" s="367" t="str">
        <f ca="1">IF(RawMaterials[[#This Row],[Lab Quote Count]]&gt;1,INTERCEPT(LOG(INDIRECT("RawMaterials[@[Lab Unit P 1]:[Lab Unit P "&amp;RawMaterials[[#This Row],[Lab Quote Count]]&amp;"]]")),LOG(INDIRECT("RawMaterials[@[Lab Q Model Units 1]:[Lab Q Model Units "&amp;RawMaterials[[#This Row],[Lab Quote Count]]&amp;"]]"))),"")</f>
        <v/>
      </c>
      <c r="AH206" s="368" t="str">
        <f>IF(RawMaterials[[#This Row],[Material Type]]="Metal Precursor","D13",IF(RawMaterials[[#This Row],[Material Type]]="Ligand","D13","D12"))</f>
        <v>D12</v>
      </c>
      <c r="AI206" s="369" t="str">
        <f ca="1">IF(RawMaterials[[#This Row],[Lab Quote Count]]&gt;1,10^RawMaterials[[#This Row],[Lab Log-Log Intercept]]*INDIRECT(RawMaterials[[#This Row],[Basis Cell]])^RawMaterials[[#This Row],[Lab Log-Log Slope]],"&gt;&gt;&gt; Enter 2 or more lab quotes &lt;&lt;&lt;")</f>
        <v>&gt;&gt;&gt; Enter 2 or more lab quotes &lt;&lt;&lt;</v>
      </c>
      <c r="AJ2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v>
      </c>
      <c r="AL206" s="372">
        <f>IF(ISTEXT(RawMaterials[[#This Row],[Unit price in quote year]]),"Check calcs",RawMaterials[[#This Row],[Unit price in quote year]]/VLOOKUP(RawMaterials[[#This Row],[Quote Year]],ChemPPI[],14,FALSE)*VLOOKUP(BasisYear,ChemPPI[],14,FALSE))</f>
        <v>0.2850152439024391</v>
      </c>
      <c r="AM206" s="373" t="str">
        <f t="shared" si="2"/>
        <v>$/lb (2016)</v>
      </c>
    </row>
    <row r="207" spans="1:39">
      <c r="A207" s="263" t="s">
        <v>1312</v>
      </c>
      <c r="B207" s="264"/>
      <c r="C207" s="271"/>
      <c r="D207" s="365"/>
      <c r="E207" s="264">
        <v>100</v>
      </c>
      <c r="F207" s="264"/>
      <c r="G207" s="271"/>
      <c r="H207" s="271"/>
      <c r="I207" s="268"/>
      <c r="J207" s="271"/>
      <c r="K207" s="271"/>
      <c r="L207" s="271"/>
      <c r="M207" s="271"/>
      <c r="N207" s="271"/>
      <c r="O207" s="271"/>
      <c r="P207" s="265">
        <v>0.83499999999999996</v>
      </c>
      <c r="Q207" s="264">
        <v>1</v>
      </c>
      <c r="R207" s="264" t="s">
        <v>20</v>
      </c>
      <c r="S207" s="264">
        <v>2006</v>
      </c>
      <c r="T207" s="266" t="s">
        <v>163</v>
      </c>
      <c r="U207" s="267">
        <v>42653</v>
      </c>
      <c r="V207" s="269"/>
      <c r="W207" s="366">
        <f>COUNT(RawMaterials[[#This Row],[Lab Quantity 1]:[Lab Quantity 4]])</f>
        <v>0</v>
      </c>
      <c r="X2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7" s="367" t="e">
        <f>RawMaterials[[#This Row],[Lab Price 1]]/RawMaterials[[#This Row],[Lab Q Model Units 1]]</f>
        <v>#N/A</v>
      </c>
      <c r="AC207" s="367" t="e">
        <f>RawMaterials[[#This Row],[Lab Price 2]]/RawMaterials[[#This Row],[Lab Q Model Units 2]]</f>
        <v>#N/A</v>
      </c>
      <c r="AD207" s="367" t="e">
        <f>RawMaterials[[#This Row],[Lab Price 3]]/RawMaterials[[#This Row],[Lab Q Model Units 3]]</f>
        <v>#N/A</v>
      </c>
      <c r="AE207" s="367" t="e">
        <f>RawMaterials[[#This Row],[Lab Price 4]]/RawMaterials[[#This Row],[Lab Q Model Units 4]]</f>
        <v>#N/A</v>
      </c>
      <c r="AF207" s="367" t="str">
        <f ca="1">IF(RawMaterials[[#This Row],[Lab Quote Count]]&gt;1,SLOPE(LOG(INDIRECT("RawMaterials[@[Lab Unit P 1]:[Lab Unit P "&amp;RawMaterials[[#This Row],[Lab Quote Count]]&amp;"]]")),LOG(INDIRECT("RawMaterials[@[Lab Q Model Units 1]:[Lab Q Model Units "&amp;RawMaterials[[#This Row],[Lab Quote Count]]&amp;"]]"))),"")</f>
        <v/>
      </c>
      <c r="AG207" s="367" t="str">
        <f ca="1">IF(RawMaterials[[#This Row],[Lab Quote Count]]&gt;1,INTERCEPT(LOG(INDIRECT("RawMaterials[@[Lab Unit P 1]:[Lab Unit P "&amp;RawMaterials[[#This Row],[Lab Quote Count]]&amp;"]]")),LOG(INDIRECT("RawMaterials[@[Lab Q Model Units 1]:[Lab Q Model Units "&amp;RawMaterials[[#This Row],[Lab Quote Count]]&amp;"]]"))),"")</f>
        <v/>
      </c>
      <c r="AH207" s="368" t="str">
        <f>IF(RawMaterials[[#This Row],[Material Type]]="Metal Precursor","D13",IF(RawMaterials[[#This Row],[Material Type]]="Ligand","D13","D12"))</f>
        <v>D12</v>
      </c>
      <c r="AI207" s="369" t="str">
        <f ca="1">IF(RawMaterials[[#This Row],[Lab Quote Count]]&gt;1,10^RawMaterials[[#This Row],[Lab Log-Log Intercept]]*INDIRECT(RawMaterials[[#This Row],[Basis Cell]])^RawMaterials[[#This Row],[Lab Log-Log Slope]],"&gt;&gt;&gt; Enter 2 or more lab quotes &lt;&lt;&lt;")</f>
        <v>&gt;&gt;&gt; Enter 2 or more lab quotes &lt;&lt;&lt;</v>
      </c>
      <c r="AJ2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207" s="372">
        <f>IF(ISTEXT(RawMaterials[[#This Row],[Unit price in quote year]]),"Check calcs",RawMaterials[[#This Row],[Unit price in quote year]]/VLOOKUP(RawMaterials[[#This Row],[Quote Year]],ChemPPI[],14,FALSE)*VLOOKUP(BasisYear,ChemPPI[],14,FALSE))</f>
        <v>1.1332748983739838</v>
      </c>
      <c r="AM207" s="373" t="str">
        <f t="shared" si="2"/>
        <v>$/lb (2016)</v>
      </c>
    </row>
    <row r="208" spans="1:39">
      <c r="A208" s="263" t="s">
        <v>1313</v>
      </c>
      <c r="B208" s="264"/>
      <c r="C208" s="271"/>
      <c r="D208" s="365"/>
      <c r="E208" s="264">
        <v>100</v>
      </c>
      <c r="F208" s="264"/>
      <c r="G208" s="271"/>
      <c r="H208" s="271"/>
      <c r="I208" s="268"/>
      <c r="J208" s="271"/>
      <c r="K208" s="271"/>
      <c r="L208" s="271"/>
      <c r="M208" s="271"/>
      <c r="N208" s="271"/>
      <c r="O208" s="271"/>
      <c r="P208" s="265">
        <v>2.75</v>
      </c>
      <c r="Q208" s="264">
        <v>1</v>
      </c>
      <c r="R208" s="264" t="s">
        <v>20</v>
      </c>
      <c r="S208" s="264">
        <v>2006</v>
      </c>
      <c r="T208" s="266" t="s">
        <v>163</v>
      </c>
      <c r="U208" s="267">
        <v>42653</v>
      </c>
      <c r="V208" s="269"/>
      <c r="W208" s="366">
        <f>COUNT(RawMaterials[[#This Row],[Lab Quantity 1]:[Lab Quantity 4]])</f>
        <v>0</v>
      </c>
      <c r="X2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8" s="367" t="e">
        <f>RawMaterials[[#This Row],[Lab Price 1]]/RawMaterials[[#This Row],[Lab Q Model Units 1]]</f>
        <v>#N/A</v>
      </c>
      <c r="AC208" s="367" t="e">
        <f>RawMaterials[[#This Row],[Lab Price 2]]/RawMaterials[[#This Row],[Lab Q Model Units 2]]</f>
        <v>#N/A</v>
      </c>
      <c r="AD208" s="367" t="e">
        <f>RawMaterials[[#This Row],[Lab Price 3]]/RawMaterials[[#This Row],[Lab Q Model Units 3]]</f>
        <v>#N/A</v>
      </c>
      <c r="AE208" s="367" t="e">
        <f>RawMaterials[[#This Row],[Lab Price 4]]/RawMaterials[[#This Row],[Lab Q Model Units 4]]</f>
        <v>#N/A</v>
      </c>
      <c r="AF208" s="367" t="str">
        <f ca="1">IF(RawMaterials[[#This Row],[Lab Quote Count]]&gt;1,SLOPE(LOG(INDIRECT("RawMaterials[@[Lab Unit P 1]:[Lab Unit P "&amp;RawMaterials[[#This Row],[Lab Quote Count]]&amp;"]]")),LOG(INDIRECT("RawMaterials[@[Lab Q Model Units 1]:[Lab Q Model Units "&amp;RawMaterials[[#This Row],[Lab Quote Count]]&amp;"]]"))),"")</f>
        <v/>
      </c>
      <c r="AG208" s="367" t="str">
        <f ca="1">IF(RawMaterials[[#This Row],[Lab Quote Count]]&gt;1,INTERCEPT(LOG(INDIRECT("RawMaterials[@[Lab Unit P 1]:[Lab Unit P "&amp;RawMaterials[[#This Row],[Lab Quote Count]]&amp;"]]")),LOG(INDIRECT("RawMaterials[@[Lab Q Model Units 1]:[Lab Q Model Units "&amp;RawMaterials[[#This Row],[Lab Quote Count]]&amp;"]]"))),"")</f>
        <v/>
      </c>
      <c r="AH208" s="368" t="str">
        <f>IF(RawMaterials[[#This Row],[Material Type]]="Metal Precursor","D13",IF(RawMaterials[[#This Row],[Material Type]]="Ligand","D13","D12"))</f>
        <v>D12</v>
      </c>
      <c r="AI208" s="369" t="str">
        <f ca="1">IF(RawMaterials[[#This Row],[Lab Quote Count]]&gt;1,10^RawMaterials[[#This Row],[Lab Log-Log Intercept]]*INDIRECT(RawMaterials[[#This Row],[Basis Cell]])^RawMaterials[[#This Row],[Lab Log-Log Slope]],"&gt;&gt;&gt; Enter 2 or more lab quotes &lt;&lt;&lt;")</f>
        <v>&gt;&gt;&gt; Enter 2 or more lab quotes &lt;&lt;&lt;</v>
      </c>
      <c r="AJ2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2.75</v>
      </c>
      <c r="AL208" s="372">
        <f>IF(ISTEXT(RawMaterials[[#This Row],[Unit price in quote year]]),"Check calcs",RawMaterials[[#This Row],[Unit price in quote year]]/VLOOKUP(RawMaterials[[#This Row],[Quote Year]],ChemPPI[],14,FALSE)*VLOOKUP(BasisYear,ChemPPI[],14,FALSE))</f>
        <v>3.7323424796747973</v>
      </c>
      <c r="AM208" s="373" t="str">
        <f t="shared" ref="AM208:AM271" si="3">CurrencySymbol&amp;"/"&amp;OutMassUnit&amp;" ("&amp;BasisYear&amp;")"</f>
        <v>$/lb (2016)</v>
      </c>
    </row>
    <row r="209" spans="1:39">
      <c r="A209" s="263" t="s">
        <v>1314</v>
      </c>
      <c r="B209" s="264"/>
      <c r="C209" s="271"/>
      <c r="D209" s="365"/>
      <c r="E209" s="264">
        <v>100</v>
      </c>
      <c r="F209" s="264"/>
      <c r="G209" s="271"/>
      <c r="H209" s="271"/>
      <c r="I209" s="268"/>
      <c r="J209" s="271"/>
      <c r="K209" s="271"/>
      <c r="L209" s="271"/>
      <c r="M209" s="271"/>
      <c r="N209" s="271"/>
      <c r="O209" s="271"/>
      <c r="P209" s="265">
        <v>2.95</v>
      </c>
      <c r="Q209" s="264">
        <v>1</v>
      </c>
      <c r="R209" s="264" t="s">
        <v>20</v>
      </c>
      <c r="S209" s="264">
        <v>2006</v>
      </c>
      <c r="T209" s="266" t="s">
        <v>163</v>
      </c>
      <c r="U209" s="267">
        <v>42653</v>
      </c>
      <c r="V209" s="269"/>
      <c r="W209" s="366">
        <f>COUNT(RawMaterials[[#This Row],[Lab Quantity 1]:[Lab Quantity 4]])</f>
        <v>0</v>
      </c>
      <c r="X2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09" s="367" t="e">
        <f>RawMaterials[[#This Row],[Lab Price 1]]/RawMaterials[[#This Row],[Lab Q Model Units 1]]</f>
        <v>#N/A</v>
      </c>
      <c r="AC209" s="367" t="e">
        <f>RawMaterials[[#This Row],[Lab Price 2]]/RawMaterials[[#This Row],[Lab Q Model Units 2]]</f>
        <v>#N/A</v>
      </c>
      <c r="AD209" s="367" t="e">
        <f>RawMaterials[[#This Row],[Lab Price 3]]/RawMaterials[[#This Row],[Lab Q Model Units 3]]</f>
        <v>#N/A</v>
      </c>
      <c r="AE209" s="367" t="e">
        <f>RawMaterials[[#This Row],[Lab Price 4]]/RawMaterials[[#This Row],[Lab Q Model Units 4]]</f>
        <v>#N/A</v>
      </c>
      <c r="AF209" s="367" t="str">
        <f ca="1">IF(RawMaterials[[#This Row],[Lab Quote Count]]&gt;1,SLOPE(LOG(INDIRECT("RawMaterials[@[Lab Unit P 1]:[Lab Unit P "&amp;RawMaterials[[#This Row],[Lab Quote Count]]&amp;"]]")),LOG(INDIRECT("RawMaterials[@[Lab Q Model Units 1]:[Lab Q Model Units "&amp;RawMaterials[[#This Row],[Lab Quote Count]]&amp;"]]"))),"")</f>
        <v/>
      </c>
      <c r="AG209" s="367" t="str">
        <f ca="1">IF(RawMaterials[[#This Row],[Lab Quote Count]]&gt;1,INTERCEPT(LOG(INDIRECT("RawMaterials[@[Lab Unit P 1]:[Lab Unit P "&amp;RawMaterials[[#This Row],[Lab Quote Count]]&amp;"]]")),LOG(INDIRECT("RawMaterials[@[Lab Q Model Units 1]:[Lab Q Model Units "&amp;RawMaterials[[#This Row],[Lab Quote Count]]&amp;"]]"))),"")</f>
        <v/>
      </c>
      <c r="AH209" s="368" t="str">
        <f>IF(RawMaterials[[#This Row],[Material Type]]="Metal Precursor","D13",IF(RawMaterials[[#This Row],[Material Type]]="Ligand","D13","D12"))</f>
        <v>D12</v>
      </c>
      <c r="AI209" s="369" t="str">
        <f ca="1">IF(RawMaterials[[#This Row],[Lab Quote Count]]&gt;1,10^RawMaterials[[#This Row],[Lab Log-Log Intercept]]*INDIRECT(RawMaterials[[#This Row],[Basis Cell]])^RawMaterials[[#This Row],[Lab Log-Log Slope]],"&gt;&gt;&gt; Enter 2 or more lab quotes &lt;&lt;&lt;")</f>
        <v>&gt;&gt;&gt; Enter 2 or more lab quotes &lt;&lt;&lt;</v>
      </c>
      <c r="AJ2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2.95</v>
      </c>
      <c r="AL209" s="372">
        <f>IF(ISTEXT(RawMaterials[[#This Row],[Unit price in quote year]]),"Check calcs",RawMaterials[[#This Row],[Unit price in quote year]]/VLOOKUP(RawMaterials[[#This Row],[Quote Year]],ChemPPI[],14,FALSE)*VLOOKUP(BasisYear,ChemPPI[],14,FALSE))</f>
        <v>4.0037855691056921</v>
      </c>
      <c r="AM209" s="373" t="str">
        <f t="shared" si="3"/>
        <v>$/lb (2016)</v>
      </c>
    </row>
    <row r="210" spans="1:39">
      <c r="A210" s="263" t="s">
        <v>1315</v>
      </c>
      <c r="B210" s="264"/>
      <c r="C210" s="271"/>
      <c r="D210" s="365"/>
      <c r="E210" s="264">
        <v>100</v>
      </c>
      <c r="F210" s="264"/>
      <c r="G210" s="271"/>
      <c r="H210" s="271"/>
      <c r="I210" s="268"/>
      <c r="J210" s="271"/>
      <c r="K210" s="271"/>
      <c r="L210" s="271"/>
      <c r="M210" s="271"/>
      <c r="N210" s="271"/>
      <c r="O210" s="271"/>
      <c r="P210" s="265">
        <v>3.0249999999999999</v>
      </c>
      <c r="Q210" s="264">
        <v>1</v>
      </c>
      <c r="R210" s="264" t="s">
        <v>20</v>
      </c>
      <c r="S210" s="264">
        <v>2006</v>
      </c>
      <c r="T210" s="266" t="s">
        <v>163</v>
      </c>
      <c r="U210" s="267">
        <v>42653</v>
      </c>
      <c r="V210" s="269"/>
      <c r="W210" s="366">
        <f>COUNT(RawMaterials[[#This Row],[Lab Quantity 1]:[Lab Quantity 4]])</f>
        <v>0</v>
      </c>
      <c r="X2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0" s="367" t="e">
        <f>RawMaterials[[#This Row],[Lab Price 1]]/RawMaterials[[#This Row],[Lab Q Model Units 1]]</f>
        <v>#N/A</v>
      </c>
      <c r="AC210" s="367" t="e">
        <f>RawMaterials[[#This Row],[Lab Price 2]]/RawMaterials[[#This Row],[Lab Q Model Units 2]]</f>
        <v>#N/A</v>
      </c>
      <c r="AD210" s="367" t="e">
        <f>RawMaterials[[#This Row],[Lab Price 3]]/RawMaterials[[#This Row],[Lab Q Model Units 3]]</f>
        <v>#N/A</v>
      </c>
      <c r="AE210" s="367" t="e">
        <f>RawMaterials[[#This Row],[Lab Price 4]]/RawMaterials[[#This Row],[Lab Q Model Units 4]]</f>
        <v>#N/A</v>
      </c>
      <c r="AF210" s="367" t="str">
        <f ca="1">IF(RawMaterials[[#This Row],[Lab Quote Count]]&gt;1,SLOPE(LOG(INDIRECT("RawMaterials[@[Lab Unit P 1]:[Lab Unit P "&amp;RawMaterials[[#This Row],[Lab Quote Count]]&amp;"]]")),LOG(INDIRECT("RawMaterials[@[Lab Q Model Units 1]:[Lab Q Model Units "&amp;RawMaterials[[#This Row],[Lab Quote Count]]&amp;"]]"))),"")</f>
        <v/>
      </c>
      <c r="AG210" s="367" t="str">
        <f ca="1">IF(RawMaterials[[#This Row],[Lab Quote Count]]&gt;1,INTERCEPT(LOG(INDIRECT("RawMaterials[@[Lab Unit P 1]:[Lab Unit P "&amp;RawMaterials[[#This Row],[Lab Quote Count]]&amp;"]]")),LOG(INDIRECT("RawMaterials[@[Lab Q Model Units 1]:[Lab Q Model Units "&amp;RawMaterials[[#This Row],[Lab Quote Count]]&amp;"]]"))),"")</f>
        <v/>
      </c>
      <c r="AH210" s="368" t="str">
        <f>IF(RawMaterials[[#This Row],[Material Type]]="Metal Precursor","D13",IF(RawMaterials[[#This Row],[Material Type]]="Ligand","D13","D12"))</f>
        <v>D12</v>
      </c>
      <c r="AI210" s="369" t="str">
        <f ca="1">IF(RawMaterials[[#This Row],[Lab Quote Count]]&gt;1,10^RawMaterials[[#This Row],[Lab Log-Log Intercept]]*INDIRECT(RawMaterials[[#This Row],[Basis Cell]])^RawMaterials[[#This Row],[Lab Log-Log Slope]],"&gt;&gt;&gt; Enter 2 or more lab quotes &lt;&lt;&lt;")</f>
        <v>&gt;&gt;&gt; Enter 2 or more lab quotes &lt;&lt;&lt;</v>
      </c>
      <c r="AJ2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3.0249999999999999</v>
      </c>
      <c r="AL210" s="372">
        <f>IF(ISTEXT(RawMaterials[[#This Row],[Unit price in quote year]]),"Check calcs",RawMaterials[[#This Row],[Unit price in quote year]]/VLOOKUP(RawMaterials[[#This Row],[Quote Year]],ChemPPI[],14,FALSE)*VLOOKUP(BasisYear,ChemPPI[],14,FALSE))</f>
        <v>4.1055767276422772</v>
      </c>
      <c r="AM210" s="373" t="str">
        <f t="shared" si="3"/>
        <v>$/lb (2016)</v>
      </c>
    </row>
    <row r="211" spans="1:39">
      <c r="A211" s="263" t="s">
        <v>1316</v>
      </c>
      <c r="B211" s="264"/>
      <c r="C211" s="271"/>
      <c r="D211" s="365"/>
      <c r="E211" s="264">
        <v>100</v>
      </c>
      <c r="F211" s="264"/>
      <c r="G211" s="271"/>
      <c r="H211" s="271"/>
      <c r="I211" s="268"/>
      <c r="J211" s="271"/>
      <c r="K211" s="271"/>
      <c r="L211" s="271"/>
      <c r="M211" s="271"/>
      <c r="N211" s="271"/>
      <c r="O211" s="271"/>
      <c r="P211" s="265">
        <v>3.1</v>
      </c>
      <c r="Q211" s="264">
        <v>1</v>
      </c>
      <c r="R211" s="264" t="s">
        <v>20</v>
      </c>
      <c r="S211" s="264">
        <v>2006</v>
      </c>
      <c r="T211" s="266" t="s">
        <v>163</v>
      </c>
      <c r="U211" s="267">
        <v>42653</v>
      </c>
      <c r="V211" s="269"/>
      <c r="W211" s="366">
        <f>COUNT(RawMaterials[[#This Row],[Lab Quantity 1]:[Lab Quantity 4]])</f>
        <v>0</v>
      </c>
      <c r="X2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1" s="367" t="e">
        <f>RawMaterials[[#This Row],[Lab Price 1]]/RawMaterials[[#This Row],[Lab Q Model Units 1]]</f>
        <v>#N/A</v>
      </c>
      <c r="AC211" s="367" t="e">
        <f>RawMaterials[[#This Row],[Lab Price 2]]/RawMaterials[[#This Row],[Lab Q Model Units 2]]</f>
        <v>#N/A</v>
      </c>
      <c r="AD211" s="367" t="e">
        <f>RawMaterials[[#This Row],[Lab Price 3]]/RawMaterials[[#This Row],[Lab Q Model Units 3]]</f>
        <v>#N/A</v>
      </c>
      <c r="AE211" s="367" t="e">
        <f>RawMaterials[[#This Row],[Lab Price 4]]/RawMaterials[[#This Row],[Lab Q Model Units 4]]</f>
        <v>#N/A</v>
      </c>
      <c r="AF211" s="367" t="str">
        <f ca="1">IF(RawMaterials[[#This Row],[Lab Quote Count]]&gt;1,SLOPE(LOG(INDIRECT("RawMaterials[@[Lab Unit P 1]:[Lab Unit P "&amp;RawMaterials[[#This Row],[Lab Quote Count]]&amp;"]]")),LOG(INDIRECT("RawMaterials[@[Lab Q Model Units 1]:[Lab Q Model Units "&amp;RawMaterials[[#This Row],[Lab Quote Count]]&amp;"]]"))),"")</f>
        <v/>
      </c>
      <c r="AG211" s="367" t="str">
        <f ca="1">IF(RawMaterials[[#This Row],[Lab Quote Count]]&gt;1,INTERCEPT(LOG(INDIRECT("RawMaterials[@[Lab Unit P 1]:[Lab Unit P "&amp;RawMaterials[[#This Row],[Lab Quote Count]]&amp;"]]")),LOG(INDIRECT("RawMaterials[@[Lab Q Model Units 1]:[Lab Q Model Units "&amp;RawMaterials[[#This Row],[Lab Quote Count]]&amp;"]]"))),"")</f>
        <v/>
      </c>
      <c r="AH211" s="368" t="str">
        <f>IF(RawMaterials[[#This Row],[Material Type]]="Metal Precursor","D13",IF(RawMaterials[[#This Row],[Material Type]]="Ligand","D13","D12"))</f>
        <v>D12</v>
      </c>
      <c r="AI211" s="369" t="str">
        <f ca="1">IF(RawMaterials[[#This Row],[Lab Quote Count]]&gt;1,10^RawMaterials[[#This Row],[Lab Log-Log Intercept]]*INDIRECT(RawMaterials[[#This Row],[Basis Cell]])^RawMaterials[[#This Row],[Lab Log-Log Slope]],"&gt;&gt;&gt; Enter 2 or more lab quotes &lt;&lt;&lt;")</f>
        <v>&gt;&gt;&gt; Enter 2 or more lab quotes &lt;&lt;&lt;</v>
      </c>
      <c r="AJ2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3.1</v>
      </c>
      <c r="AL211" s="372">
        <f>IF(ISTEXT(RawMaterials[[#This Row],[Unit price in quote year]]),"Check calcs",RawMaterials[[#This Row],[Unit price in quote year]]/VLOOKUP(RawMaterials[[#This Row],[Quote Year]],ChemPPI[],14,FALSE)*VLOOKUP(BasisYear,ChemPPI[],14,FALSE))</f>
        <v>4.2073678861788624</v>
      </c>
      <c r="AM211" s="373" t="str">
        <f t="shared" si="3"/>
        <v>$/lb (2016)</v>
      </c>
    </row>
    <row r="212" spans="1:39">
      <c r="A212" s="263" t="s">
        <v>1317</v>
      </c>
      <c r="B212" s="264"/>
      <c r="C212" s="271"/>
      <c r="D212" s="365"/>
      <c r="E212" s="264">
        <v>100</v>
      </c>
      <c r="F212" s="264"/>
      <c r="G212" s="271"/>
      <c r="H212" s="271"/>
      <c r="I212" s="268"/>
      <c r="J212" s="271"/>
      <c r="K212" s="271"/>
      <c r="L212" s="271"/>
      <c r="M212" s="271"/>
      <c r="N212" s="271"/>
      <c r="O212" s="271"/>
      <c r="P212" s="265">
        <v>3.2</v>
      </c>
      <c r="Q212" s="264">
        <v>1</v>
      </c>
      <c r="R212" s="264" t="s">
        <v>20</v>
      </c>
      <c r="S212" s="264">
        <v>2006</v>
      </c>
      <c r="T212" s="266" t="s">
        <v>163</v>
      </c>
      <c r="U212" s="267">
        <v>42653</v>
      </c>
      <c r="V212" s="269"/>
      <c r="W212" s="366">
        <f>COUNT(RawMaterials[[#This Row],[Lab Quantity 1]:[Lab Quantity 4]])</f>
        <v>0</v>
      </c>
      <c r="X2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2" s="367" t="e">
        <f>RawMaterials[[#This Row],[Lab Price 1]]/RawMaterials[[#This Row],[Lab Q Model Units 1]]</f>
        <v>#N/A</v>
      </c>
      <c r="AC212" s="367" t="e">
        <f>RawMaterials[[#This Row],[Lab Price 2]]/RawMaterials[[#This Row],[Lab Q Model Units 2]]</f>
        <v>#N/A</v>
      </c>
      <c r="AD212" s="367" t="e">
        <f>RawMaterials[[#This Row],[Lab Price 3]]/RawMaterials[[#This Row],[Lab Q Model Units 3]]</f>
        <v>#N/A</v>
      </c>
      <c r="AE212" s="367" t="e">
        <f>RawMaterials[[#This Row],[Lab Price 4]]/RawMaterials[[#This Row],[Lab Q Model Units 4]]</f>
        <v>#N/A</v>
      </c>
      <c r="AF212" s="367" t="str">
        <f ca="1">IF(RawMaterials[[#This Row],[Lab Quote Count]]&gt;1,SLOPE(LOG(INDIRECT("RawMaterials[@[Lab Unit P 1]:[Lab Unit P "&amp;RawMaterials[[#This Row],[Lab Quote Count]]&amp;"]]")),LOG(INDIRECT("RawMaterials[@[Lab Q Model Units 1]:[Lab Q Model Units "&amp;RawMaterials[[#This Row],[Lab Quote Count]]&amp;"]]"))),"")</f>
        <v/>
      </c>
      <c r="AG212" s="367" t="str">
        <f ca="1">IF(RawMaterials[[#This Row],[Lab Quote Count]]&gt;1,INTERCEPT(LOG(INDIRECT("RawMaterials[@[Lab Unit P 1]:[Lab Unit P "&amp;RawMaterials[[#This Row],[Lab Quote Count]]&amp;"]]")),LOG(INDIRECT("RawMaterials[@[Lab Q Model Units 1]:[Lab Q Model Units "&amp;RawMaterials[[#This Row],[Lab Quote Count]]&amp;"]]"))),"")</f>
        <v/>
      </c>
      <c r="AH212" s="368" t="str">
        <f>IF(RawMaterials[[#This Row],[Material Type]]="Metal Precursor","D13",IF(RawMaterials[[#This Row],[Material Type]]="Ligand","D13","D12"))</f>
        <v>D12</v>
      </c>
      <c r="AI212" s="369" t="str">
        <f ca="1">IF(RawMaterials[[#This Row],[Lab Quote Count]]&gt;1,10^RawMaterials[[#This Row],[Lab Log-Log Intercept]]*INDIRECT(RawMaterials[[#This Row],[Basis Cell]])^RawMaterials[[#This Row],[Lab Log-Log Slope]],"&gt;&gt;&gt; Enter 2 or more lab quotes &lt;&lt;&lt;")</f>
        <v>&gt;&gt;&gt; Enter 2 or more lab quotes &lt;&lt;&lt;</v>
      </c>
      <c r="AJ2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3.2</v>
      </c>
      <c r="AL212" s="372">
        <f>IF(ISTEXT(RawMaterials[[#This Row],[Unit price in quote year]]),"Check calcs",RawMaterials[[#This Row],[Unit price in quote year]]/VLOOKUP(RawMaterials[[#This Row],[Quote Year]],ChemPPI[],14,FALSE)*VLOOKUP(BasisYear,ChemPPI[],14,FALSE))</f>
        <v>4.3430894308943095</v>
      </c>
      <c r="AM212" s="373" t="str">
        <f t="shared" si="3"/>
        <v>$/lb (2016)</v>
      </c>
    </row>
    <row r="213" spans="1:39">
      <c r="A213" s="263" t="s">
        <v>1318</v>
      </c>
      <c r="B213" s="264"/>
      <c r="C213" s="271"/>
      <c r="D213" s="365"/>
      <c r="E213" s="264">
        <v>100</v>
      </c>
      <c r="F213" s="264"/>
      <c r="G213" s="271"/>
      <c r="H213" s="271"/>
      <c r="I213" s="268"/>
      <c r="J213" s="271"/>
      <c r="K213" s="271"/>
      <c r="L213" s="271"/>
      <c r="M213" s="271"/>
      <c r="N213" s="271"/>
      <c r="O213" s="271"/>
      <c r="P213" s="265">
        <v>3.45</v>
      </c>
      <c r="Q213" s="264">
        <v>1</v>
      </c>
      <c r="R213" s="264" t="s">
        <v>20</v>
      </c>
      <c r="S213" s="264">
        <v>2006</v>
      </c>
      <c r="T213" s="266" t="s">
        <v>163</v>
      </c>
      <c r="U213" s="267">
        <v>42653</v>
      </c>
      <c r="V213" s="269"/>
      <c r="W213" s="366">
        <f>COUNT(RawMaterials[[#This Row],[Lab Quantity 1]:[Lab Quantity 4]])</f>
        <v>0</v>
      </c>
      <c r="X2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3" s="367" t="e">
        <f>RawMaterials[[#This Row],[Lab Price 1]]/RawMaterials[[#This Row],[Lab Q Model Units 1]]</f>
        <v>#N/A</v>
      </c>
      <c r="AC213" s="367" t="e">
        <f>RawMaterials[[#This Row],[Lab Price 2]]/RawMaterials[[#This Row],[Lab Q Model Units 2]]</f>
        <v>#N/A</v>
      </c>
      <c r="AD213" s="367" t="e">
        <f>RawMaterials[[#This Row],[Lab Price 3]]/RawMaterials[[#This Row],[Lab Q Model Units 3]]</f>
        <v>#N/A</v>
      </c>
      <c r="AE213" s="367" t="e">
        <f>RawMaterials[[#This Row],[Lab Price 4]]/RawMaterials[[#This Row],[Lab Q Model Units 4]]</f>
        <v>#N/A</v>
      </c>
      <c r="AF213" s="367" t="str">
        <f ca="1">IF(RawMaterials[[#This Row],[Lab Quote Count]]&gt;1,SLOPE(LOG(INDIRECT("RawMaterials[@[Lab Unit P 1]:[Lab Unit P "&amp;RawMaterials[[#This Row],[Lab Quote Count]]&amp;"]]")),LOG(INDIRECT("RawMaterials[@[Lab Q Model Units 1]:[Lab Q Model Units "&amp;RawMaterials[[#This Row],[Lab Quote Count]]&amp;"]]"))),"")</f>
        <v/>
      </c>
      <c r="AG213" s="367" t="str">
        <f ca="1">IF(RawMaterials[[#This Row],[Lab Quote Count]]&gt;1,INTERCEPT(LOG(INDIRECT("RawMaterials[@[Lab Unit P 1]:[Lab Unit P "&amp;RawMaterials[[#This Row],[Lab Quote Count]]&amp;"]]")),LOG(INDIRECT("RawMaterials[@[Lab Q Model Units 1]:[Lab Q Model Units "&amp;RawMaterials[[#This Row],[Lab Quote Count]]&amp;"]]"))),"")</f>
        <v/>
      </c>
      <c r="AH213" s="368" t="str">
        <f>IF(RawMaterials[[#This Row],[Material Type]]="Metal Precursor","D13",IF(RawMaterials[[#This Row],[Material Type]]="Ligand","D13","D12"))</f>
        <v>D12</v>
      </c>
      <c r="AI213" s="369" t="str">
        <f ca="1">IF(RawMaterials[[#This Row],[Lab Quote Count]]&gt;1,10^RawMaterials[[#This Row],[Lab Log-Log Intercept]]*INDIRECT(RawMaterials[[#This Row],[Basis Cell]])^RawMaterials[[#This Row],[Lab Log-Log Slope]],"&gt;&gt;&gt; Enter 2 or more lab quotes &lt;&lt;&lt;")</f>
        <v>&gt;&gt;&gt; Enter 2 or more lab quotes &lt;&lt;&lt;</v>
      </c>
      <c r="AJ2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3.45</v>
      </c>
      <c r="AL213" s="372">
        <f>IF(ISTEXT(RawMaterials[[#This Row],[Unit price in quote year]]),"Check calcs",RawMaterials[[#This Row],[Unit price in quote year]]/VLOOKUP(RawMaterials[[#This Row],[Quote Year]],ChemPPI[],14,FALSE)*VLOOKUP(BasisYear,ChemPPI[],14,FALSE))</f>
        <v>4.6823932926829279</v>
      </c>
      <c r="AM213" s="373" t="str">
        <f t="shared" si="3"/>
        <v>$/lb (2016)</v>
      </c>
    </row>
    <row r="214" spans="1:39">
      <c r="A214" s="263" t="s">
        <v>1319</v>
      </c>
      <c r="B214" s="264"/>
      <c r="C214" s="271"/>
      <c r="D214" s="365"/>
      <c r="E214" s="264">
        <v>100</v>
      </c>
      <c r="F214" s="264"/>
      <c r="G214" s="271"/>
      <c r="H214" s="271"/>
      <c r="I214" s="268"/>
      <c r="J214" s="271"/>
      <c r="K214" s="271"/>
      <c r="L214" s="271"/>
      <c r="M214" s="271"/>
      <c r="N214" s="271"/>
      <c r="O214" s="271"/>
      <c r="P214" s="265">
        <v>3.8499999999999899</v>
      </c>
      <c r="Q214" s="264">
        <v>1</v>
      </c>
      <c r="R214" s="264" t="s">
        <v>20</v>
      </c>
      <c r="S214" s="264">
        <v>2006</v>
      </c>
      <c r="T214" s="266" t="s">
        <v>163</v>
      </c>
      <c r="U214" s="267">
        <v>42653</v>
      </c>
      <c r="V214" s="269"/>
      <c r="W214" s="366">
        <f>COUNT(RawMaterials[[#This Row],[Lab Quantity 1]:[Lab Quantity 4]])</f>
        <v>0</v>
      </c>
      <c r="X2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4" s="367" t="e">
        <f>RawMaterials[[#This Row],[Lab Price 1]]/RawMaterials[[#This Row],[Lab Q Model Units 1]]</f>
        <v>#N/A</v>
      </c>
      <c r="AC214" s="367" t="e">
        <f>RawMaterials[[#This Row],[Lab Price 2]]/RawMaterials[[#This Row],[Lab Q Model Units 2]]</f>
        <v>#N/A</v>
      </c>
      <c r="AD214" s="367" t="e">
        <f>RawMaterials[[#This Row],[Lab Price 3]]/RawMaterials[[#This Row],[Lab Q Model Units 3]]</f>
        <v>#N/A</v>
      </c>
      <c r="AE214" s="367" t="e">
        <f>RawMaterials[[#This Row],[Lab Price 4]]/RawMaterials[[#This Row],[Lab Q Model Units 4]]</f>
        <v>#N/A</v>
      </c>
      <c r="AF214" s="367" t="str">
        <f ca="1">IF(RawMaterials[[#This Row],[Lab Quote Count]]&gt;1,SLOPE(LOG(INDIRECT("RawMaterials[@[Lab Unit P 1]:[Lab Unit P "&amp;RawMaterials[[#This Row],[Lab Quote Count]]&amp;"]]")),LOG(INDIRECT("RawMaterials[@[Lab Q Model Units 1]:[Lab Q Model Units "&amp;RawMaterials[[#This Row],[Lab Quote Count]]&amp;"]]"))),"")</f>
        <v/>
      </c>
      <c r="AG214" s="367" t="str">
        <f ca="1">IF(RawMaterials[[#This Row],[Lab Quote Count]]&gt;1,INTERCEPT(LOG(INDIRECT("RawMaterials[@[Lab Unit P 1]:[Lab Unit P "&amp;RawMaterials[[#This Row],[Lab Quote Count]]&amp;"]]")),LOG(INDIRECT("RawMaterials[@[Lab Q Model Units 1]:[Lab Q Model Units "&amp;RawMaterials[[#This Row],[Lab Quote Count]]&amp;"]]"))),"")</f>
        <v/>
      </c>
      <c r="AH214" s="368" t="str">
        <f>IF(RawMaterials[[#This Row],[Material Type]]="Metal Precursor","D13",IF(RawMaterials[[#This Row],[Material Type]]="Ligand","D13","D12"))</f>
        <v>D12</v>
      </c>
      <c r="AI214" s="369" t="str">
        <f ca="1">IF(RawMaterials[[#This Row],[Lab Quote Count]]&gt;1,10^RawMaterials[[#This Row],[Lab Log-Log Intercept]]*INDIRECT(RawMaterials[[#This Row],[Basis Cell]])^RawMaterials[[#This Row],[Lab Log-Log Slope]],"&gt;&gt;&gt; Enter 2 or more lab quotes &lt;&lt;&lt;")</f>
        <v>&gt;&gt;&gt; Enter 2 or more lab quotes &lt;&lt;&lt;</v>
      </c>
      <c r="AJ2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3.8499999999999899</v>
      </c>
      <c r="AL214" s="372">
        <f>IF(ISTEXT(RawMaterials[[#This Row],[Unit price in quote year]]),"Check calcs",RawMaterials[[#This Row],[Unit price in quote year]]/VLOOKUP(RawMaterials[[#This Row],[Quote Year]],ChemPPI[],14,FALSE)*VLOOKUP(BasisYear,ChemPPI[],14,FALSE))</f>
        <v>5.2252794715447024</v>
      </c>
      <c r="AM214" s="373" t="str">
        <f t="shared" si="3"/>
        <v>$/lb (2016)</v>
      </c>
    </row>
    <row r="215" spans="1:39">
      <c r="A215" s="263" t="s">
        <v>1320</v>
      </c>
      <c r="B215" s="264"/>
      <c r="C215" s="271"/>
      <c r="D215" s="365"/>
      <c r="E215" s="264">
        <v>100</v>
      </c>
      <c r="F215" s="264"/>
      <c r="G215" s="271"/>
      <c r="H215" s="271"/>
      <c r="I215" s="268"/>
      <c r="J215" s="271"/>
      <c r="K215" s="271"/>
      <c r="L215" s="271"/>
      <c r="M215" s="271"/>
      <c r="N215" s="271"/>
      <c r="O215" s="271"/>
      <c r="P215" s="265">
        <v>4.1749999999999998</v>
      </c>
      <c r="Q215" s="264">
        <v>1</v>
      </c>
      <c r="R215" s="264" t="s">
        <v>20</v>
      </c>
      <c r="S215" s="264">
        <v>2006</v>
      </c>
      <c r="T215" s="266" t="s">
        <v>163</v>
      </c>
      <c r="U215" s="267">
        <v>42653</v>
      </c>
      <c r="V215" s="269"/>
      <c r="W215" s="366">
        <f>COUNT(RawMaterials[[#This Row],[Lab Quantity 1]:[Lab Quantity 4]])</f>
        <v>0</v>
      </c>
      <c r="X2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5" s="367" t="e">
        <f>RawMaterials[[#This Row],[Lab Price 1]]/RawMaterials[[#This Row],[Lab Q Model Units 1]]</f>
        <v>#N/A</v>
      </c>
      <c r="AC215" s="367" t="e">
        <f>RawMaterials[[#This Row],[Lab Price 2]]/RawMaterials[[#This Row],[Lab Q Model Units 2]]</f>
        <v>#N/A</v>
      </c>
      <c r="AD215" s="367" t="e">
        <f>RawMaterials[[#This Row],[Lab Price 3]]/RawMaterials[[#This Row],[Lab Q Model Units 3]]</f>
        <v>#N/A</v>
      </c>
      <c r="AE215" s="367" t="e">
        <f>RawMaterials[[#This Row],[Lab Price 4]]/RawMaterials[[#This Row],[Lab Q Model Units 4]]</f>
        <v>#N/A</v>
      </c>
      <c r="AF215" s="367" t="str">
        <f ca="1">IF(RawMaterials[[#This Row],[Lab Quote Count]]&gt;1,SLOPE(LOG(INDIRECT("RawMaterials[@[Lab Unit P 1]:[Lab Unit P "&amp;RawMaterials[[#This Row],[Lab Quote Count]]&amp;"]]")),LOG(INDIRECT("RawMaterials[@[Lab Q Model Units 1]:[Lab Q Model Units "&amp;RawMaterials[[#This Row],[Lab Quote Count]]&amp;"]]"))),"")</f>
        <v/>
      </c>
      <c r="AG215" s="367" t="str">
        <f ca="1">IF(RawMaterials[[#This Row],[Lab Quote Count]]&gt;1,INTERCEPT(LOG(INDIRECT("RawMaterials[@[Lab Unit P 1]:[Lab Unit P "&amp;RawMaterials[[#This Row],[Lab Quote Count]]&amp;"]]")),LOG(INDIRECT("RawMaterials[@[Lab Q Model Units 1]:[Lab Q Model Units "&amp;RawMaterials[[#This Row],[Lab Quote Count]]&amp;"]]"))),"")</f>
        <v/>
      </c>
      <c r="AH215" s="368" t="str">
        <f>IF(RawMaterials[[#This Row],[Material Type]]="Metal Precursor","D13",IF(RawMaterials[[#This Row],[Material Type]]="Ligand","D13","D12"))</f>
        <v>D12</v>
      </c>
      <c r="AI215" s="369" t="str">
        <f ca="1">IF(RawMaterials[[#This Row],[Lab Quote Count]]&gt;1,10^RawMaterials[[#This Row],[Lab Log-Log Intercept]]*INDIRECT(RawMaterials[[#This Row],[Basis Cell]])^RawMaterials[[#This Row],[Lab Log-Log Slope]],"&gt;&gt;&gt; Enter 2 or more lab quotes &lt;&lt;&lt;")</f>
        <v>&gt;&gt;&gt; Enter 2 or more lab quotes &lt;&lt;&lt;</v>
      </c>
      <c r="AJ2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4.1749999999999998</v>
      </c>
      <c r="AL215" s="372">
        <f>IF(ISTEXT(RawMaterials[[#This Row],[Unit price in quote year]]),"Check calcs",RawMaterials[[#This Row],[Unit price in quote year]]/VLOOKUP(RawMaterials[[#This Row],[Quote Year]],ChemPPI[],14,FALSE)*VLOOKUP(BasisYear,ChemPPI[],14,FALSE))</f>
        <v>5.6663744918699201</v>
      </c>
      <c r="AM215" s="373" t="str">
        <f t="shared" si="3"/>
        <v>$/lb (2016)</v>
      </c>
    </row>
    <row r="216" spans="1:39">
      <c r="A216" s="263" t="s">
        <v>1321</v>
      </c>
      <c r="B216" s="264"/>
      <c r="C216" s="271"/>
      <c r="D216" s="365"/>
      <c r="E216" s="264">
        <v>100</v>
      </c>
      <c r="F216" s="264"/>
      <c r="G216" s="271"/>
      <c r="H216" s="271"/>
      <c r="I216" s="268"/>
      <c r="J216" s="271"/>
      <c r="K216" s="271"/>
      <c r="L216" s="271"/>
      <c r="M216" s="271"/>
      <c r="N216" s="271"/>
      <c r="O216" s="271"/>
      <c r="P216" s="265">
        <v>6.5</v>
      </c>
      <c r="Q216" s="264">
        <v>1</v>
      </c>
      <c r="R216" s="264" t="s">
        <v>71</v>
      </c>
      <c r="S216" s="264">
        <v>2006</v>
      </c>
      <c r="T216" s="266" t="s">
        <v>163</v>
      </c>
      <c r="U216" s="267">
        <v>42653</v>
      </c>
      <c r="V216" s="269"/>
      <c r="W216" s="366">
        <f>COUNT(RawMaterials[[#This Row],[Lab Quantity 1]:[Lab Quantity 4]])</f>
        <v>0</v>
      </c>
      <c r="X2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6" s="367" t="e">
        <f>RawMaterials[[#This Row],[Lab Price 1]]/RawMaterials[[#This Row],[Lab Q Model Units 1]]</f>
        <v>#N/A</v>
      </c>
      <c r="AC216" s="367" t="e">
        <f>RawMaterials[[#This Row],[Lab Price 2]]/RawMaterials[[#This Row],[Lab Q Model Units 2]]</f>
        <v>#N/A</v>
      </c>
      <c r="AD216" s="367" t="e">
        <f>RawMaterials[[#This Row],[Lab Price 3]]/RawMaterials[[#This Row],[Lab Q Model Units 3]]</f>
        <v>#N/A</v>
      </c>
      <c r="AE216" s="367" t="e">
        <f>RawMaterials[[#This Row],[Lab Price 4]]/RawMaterials[[#This Row],[Lab Q Model Units 4]]</f>
        <v>#N/A</v>
      </c>
      <c r="AF216" s="367" t="str">
        <f ca="1">IF(RawMaterials[[#This Row],[Lab Quote Count]]&gt;1,SLOPE(LOG(INDIRECT("RawMaterials[@[Lab Unit P 1]:[Lab Unit P "&amp;RawMaterials[[#This Row],[Lab Quote Count]]&amp;"]]")),LOG(INDIRECT("RawMaterials[@[Lab Q Model Units 1]:[Lab Q Model Units "&amp;RawMaterials[[#This Row],[Lab Quote Count]]&amp;"]]"))),"")</f>
        <v/>
      </c>
      <c r="AG216" s="367" t="str">
        <f ca="1">IF(RawMaterials[[#This Row],[Lab Quote Count]]&gt;1,INTERCEPT(LOG(INDIRECT("RawMaterials[@[Lab Unit P 1]:[Lab Unit P "&amp;RawMaterials[[#This Row],[Lab Quote Count]]&amp;"]]")),LOG(INDIRECT("RawMaterials[@[Lab Q Model Units 1]:[Lab Q Model Units "&amp;RawMaterials[[#This Row],[Lab Quote Count]]&amp;"]]"))),"")</f>
        <v/>
      </c>
      <c r="AH216" s="368" t="str">
        <f>IF(RawMaterials[[#This Row],[Material Type]]="Metal Precursor","D13",IF(RawMaterials[[#This Row],[Material Type]]="Ligand","D13","D12"))</f>
        <v>D12</v>
      </c>
      <c r="AI216" s="369" t="str">
        <f ca="1">IF(RawMaterials[[#This Row],[Lab Quote Count]]&gt;1,10^RawMaterials[[#This Row],[Lab Log-Log Intercept]]*INDIRECT(RawMaterials[[#This Row],[Basis Cell]])^RawMaterials[[#This Row],[Lab Log-Log Slope]],"&gt;&gt;&gt; Enter 2 or more lab quotes &lt;&lt;&lt;")</f>
        <v>&gt;&gt;&gt; Enter 2 or more lab quotes &lt;&lt;&lt;</v>
      </c>
      <c r="AJ2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2.9483504050000002</v>
      </c>
      <c r="AL216" s="372">
        <f>IF(ISTEXT(RawMaterials[[#This Row],[Unit price in quote year]]),"Check calcs",RawMaterials[[#This Row],[Unit price in quote year]]/VLOOKUP(RawMaterials[[#This Row],[Quote Year]],ChemPPI[],14,FALSE)*VLOOKUP(BasisYear,ChemPPI[],14,FALSE))</f>
        <v>4.0015467132901437</v>
      </c>
      <c r="AM216" s="373" t="str">
        <f t="shared" si="3"/>
        <v>$/lb (2016)</v>
      </c>
    </row>
    <row r="217" spans="1:39">
      <c r="A217" s="263" t="s">
        <v>1322</v>
      </c>
      <c r="B217" s="264"/>
      <c r="C217" s="271"/>
      <c r="D217" s="365"/>
      <c r="E217" s="264">
        <v>100</v>
      </c>
      <c r="F217" s="264"/>
      <c r="G217" s="271"/>
      <c r="H217" s="271"/>
      <c r="I217" s="268"/>
      <c r="J217" s="271"/>
      <c r="K217" s="271"/>
      <c r="L217" s="271"/>
      <c r="M217" s="271"/>
      <c r="N217" s="271"/>
      <c r="O217" s="271"/>
      <c r="P217" s="265">
        <v>0.45</v>
      </c>
      <c r="Q217" s="264">
        <v>1</v>
      </c>
      <c r="R217" s="264" t="s">
        <v>20</v>
      </c>
      <c r="S217" s="264">
        <v>2006</v>
      </c>
      <c r="T217" s="266" t="s">
        <v>163</v>
      </c>
      <c r="U217" s="267">
        <v>42653</v>
      </c>
      <c r="V217" s="269"/>
      <c r="W217" s="366">
        <f>COUNT(RawMaterials[[#This Row],[Lab Quantity 1]:[Lab Quantity 4]])</f>
        <v>0</v>
      </c>
      <c r="X2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7" s="367" t="e">
        <f>RawMaterials[[#This Row],[Lab Price 1]]/RawMaterials[[#This Row],[Lab Q Model Units 1]]</f>
        <v>#N/A</v>
      </c>
      <c r="AC217" s="367" t="e">
        <f>RawMaterials[[#This Row],[Lab Price 2]]/RawMaterials[[#This Row],[Lab Q Model Units 2]]</f>
        <v>#N/A</v>
      </c>
      <c r="AD217" s="367" t="e">
        <f>RawMaterials[[#This Row],[Lab Price 3]]/RawMaterials[[#This Row],[Lab Q Model Units 3]]</f>
        <v>#N/A</v>
      </c>
      <c r="AE217" s="367" t="e">
        <f>RawMaterials[[#This Row],[Lab Price 4]]/RawMaterials[[#This Row],[Lab Q Model Units 4]]</f>
        <v>#N/A</v>
      </c>
      <c r="AF217" s="367" t="str">
        <f ca="1">IF(RawMaterials[[#This Row],[Lab Quote Count]]&gt;1,SLOPE(LOG(INDIRECT("RawMaterials[@[Lab Unit P 1]:[Lab Unit P "&amp;RawMaterials[[#This Row],[Lab Quote Count]]&amp;"]]")),LOG(INDIRECT("RawMaterials[@[Lab Q Model Units 1]:[Lab Q Model Units "&amp;RawMaterials[[#This Row],[Lab Quote Count]]&amp;"]]"))),"")</f>
        <v/>
      </c>
      <c r="AG217" s="367" t="str">
        <f ca="1">IF(RawMaterials[[#This Row],[Lab Quote Count]]&gt;1,INTERCEPT(LOG(INDIRECT("RawMaterials[@[Lab Unit P 1]:[Lab Unit P "&amp;RawMaterials[[#This Row],[Lab Quote Count]]&amp;"]]")),LOG(INDIRECT("RawMaterials[@[Lab Q Model Units 1]:[Lab Q Model Units "&amp;RawMaterials[[#This Row],[Lab Quote Count]]&amp;"]]"))),"")</f>
        <v/>
      </c>
      <c r="AH217" s="368" t="str">
        <f>IF(RawMaterials[[#This Row],[Material Type]]="Metal Precursor","D13",IF(RawMaterials[[#This Row],[Material Type]]="Ligand","D13","D12"))</f>
        <v>D12</v>
      </c>
      <c r="AI217" s="369" t="str">
        <f ca="1">IF(RawMaterials[[#This Row],[Lab Quote Count]]&gt;1,10^RawMaterials[[#This Row],[Lab Log-Log Intercept]]*INDIRECT(RawMaterials[[#This Row],[Basis Cell]])^RawMaterials[[#This Row],[Lab Log-Log Slope]],"&gt;&gt;&gt; Enter 2 or more lab quotes &lt;&lt;&lt;")</f>
        <v>&gt;&gt;&gt; Enter 2 or more lab quotes &lt;&lt;&lt;</v>
      </c>
      <c r="AJ2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17" s="372">
        <f>IF(ISTEXT(RawMaterials[[#This Row],[Unit price in quote year]]),"Check calcs",RawMaterials[[#This Row],[Unit price in quote year]]/VLOOKUP(RawMaterials[[#This Row],[Quote Year]],ChemPPI[],14,FALSE)*VLOOKUP(BasisYear,ChemPPI[],14,FALSE))</f>
        <v>0.61074695121951228</v>
      </c>
      <c r="AM217" s="373" t="str">
        <f t="shared" si="3"/>
        <v>$/lb (2016)</v>
      </c>
    </row>
    <row r="218" spans="1:39">
      <c r="A218" s="263" t="s">
        <v>1323</v>
      </c>
      <c r="B218" s="264"/>
      <c r="C218" s="271"/>
      <c r="D218" s="365"/>
      <c r="E218" s="264">
        <v>100</v>
      </c>
      <c r="F218" s="264"/>
      <c r="G218" s="271"/>
      <c r="H218" s="271"/>
      <c r="I218" s="268"/>
      <c r="J218" s="271"/>
      <c r="K218" s="271"/>
      <c r="L218" s="271"/>
      <c r="M218" s="271"/>
      <c r="N218" s="271"/>
      <c r="O218" s="271"/>
      <c r="P218" s="265">
        <v>0.52749999999999997</v>
      </c>
      <c r="Q218" s="264">
        <v>1</v>
      </c>
      <c r="R218" s="264" t="s">
        <v>20</v>
      </c>
      <c r="S218" s="264">
        <v>2006</v>
      </c>
      <c r="T218" s="266" t="s">
        <v>163</v>
      </c>
      <c r="U218" s="267">
        <v>42653</v>
      </c>
      <c r="V218" s="269"/>
      <c r="W218" s="366">
        <f>COUNT(RawMaterials[[#This Row],[Lab Quantity 1]:[Lab Quantity 4]])</f>
        <v>0</v>
      </c>
      <c r="X2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8" s="367" t="e">
        <f>RawMaterials[[#This Row],[Lab Price 1]]/RawMaterials[[#This Row],[Lab Q Model Units 1]]</f>
        <v>#N/A</v>
      </c>
      <c r="AC218" s="367" t="e">
        <f>RawMaterials[[#This Row],[Lab Price 2]]/RawMaterials[[#This Row],[Lab Q Model Units 2]]</f>
        <v>#N/A</v>
      </c>
      <c r="AD218" s="367" t="e">
        <f>RawMaterials[[#This Row],[Lab Price 3]]/RawMaterials[[#This Row],[Lab Q Model Units 3]]</f>
        <v>#N/A</v>
      </c>
      <c r="AE218" s="367" t="e">
        <f>RawMaterials[[#This Row],[Lab Price 4]]/RawMaterials[[#This Row],[Lab Q Model Units 4]]</f>
        <v>#N/A</v>
      </c>
      <c r="AF218" s="367" t="str">
        <f ca="1">IF(RawMaterials[[#This Row],[Lab Quote Count]]&gt;1,SLOPE(LOG(INDIRECT("RawMaterials[@[Lab Unit P 1]:[Lab Unit P "&amp;RawMaterials[[#This Row],[Lab Quote Count]]&amp;"]]")),LOG(INDIRECT("RawMaterials[@[Lab Q Model Units 1]:[Lab Q Model Units "&amp;RawMaterials[[#This Row],[Lab Quote Count]]&amp;"]]"))),"")</f>
        <v/>
      </c>
      <c r="AG218" s="367" t="str">
        <f ca="1">IF(RawMaterials[[#This Row],[Lab Quote Count]]&gt;1,INTERCEPT(LOG(INDIRECT("RawMaterials[@[Lab Unit P 1]:[Lab Unit P "&amp;RawMaterials[[#This Row],[Lab Quote Count]]&amp;"]]")),LOG(INDIRECT("RawMaterials[@[Lab Q Model Units 1]:[Lab Q Model Units "&amp;RawMaterials[[#This Row],[Lab Quote Count]]&amp;"]]"))),"")</f>
        <v/>
      </c>
      <c r="AH218" s="368" t="str">
        <f>IF(RawMaterials[[#This Row],[Material Type]]="Metal Precursor","D13",IF(RawMaterials[[#This Row],[Material Type]]="Ligand","D13","D12"))</f>
        <v>D12</v>
      </c>
      <c r="AI218" s="369" t="str">
        <f ca="1">IF(RawMaterials[[#This Row],[Lab Quote Count]]&gt;1,10^RawMaterials[[#This Row],[Lab Log-Log Intercept]]*INDIRECT(RawMaterials[[#This Row],[Basis Cell]])^RawMaterials[[#This Row],[Lab Log-Log Slope]],"&gt;&gt;&gt; Enter 2 or more lab quotes &lt;&lt;&lt;")</f>
        <v>&gt;&gt;&gt; Enter 2 or more lab quotes &lt;&lt;&lt;</v>
      </c>
      <c r="AJ2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0.52749999999999997</v>
      </c>
      <c r="AL218" s="372">
        <f>IF(ISTEXT(RawMaterials[[#This Row],[Unit price in quote year]]),"Check calcs",RawMaterials[[#This Row],[Unit price in quote year]]/VLOOKUP(RawMaterials[[#This Row],[Quote Year]],ChemPPI[],14,FALSE)*VLOOKUP(BasisYear,ChemPPI[],14,FALSE))</f>
        <v>0.71593114837398375</v>
      </c>
      <c r="AM218" s="373" t="str">
        <f t="shared" si="3"/>
        <v>$/lb (2016)</v>
      </c>
    </row>
    <row r="219" spans="1:39">
      <c r="A219" s="263" t="s">
        <v>1324</v>
      </c>
      <c r="B219" s="264"/>
      <c r="C219" s="271"/>
      <c r="D219" s="365"/>
      <c r="E219" s="264">
        <v>100</v>
      </c>
      <c r="F219" s="264"/>
      <c r="G219" s="271"/>
      <c r="H219" s="271"/>
      <c r="I219" s="268"/>
      <c r="J219" s="271"/>
      <c r="K219" s="271"/>
      <c r="L219" s="271"/>
      <c r="M219" s="271"/>
      <c r="N219" s="271"/>
      <c r="O219" s="271"/>
      <c r="P219" s="265">
        <v>1.0449999999999999</v>
      </c>
      <c r="Q219" s="264">
        <v>1</v>
      </c>
      <c r="R219" s="264" t="s">
        <v>20</v>
      </c>
      <c r="S219" s="264">
        <v>2008</v>
      </c>
      <c r="T219" s="266" t="s">
        <v>163</v>
      </c>
      <c r="U219" s="267">
        <v>42653</v>
      </c>
      <c r="V219" s="269"/>
      <c r="W219" s="366">
        <f>COUNT(RawMaterials[[#This Row],[Lab Quantity 1]:[Lab Quantity 4]])</f>
        <v>0</v>
      </c>
      <c r="X2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19" s="367" t="e">
        <f>RawMaterials[[#This Row],[Lab Price 1]]/RawMaterials[[#This Row],[Lab Q Model Units 1]]</f>
        <v>#N/A</v>
      </c>
      <c r="AC219" s="367" t="e">
        <f>RawMaterials[[#This Row],[Lab Price 2]]/RawMaterials[[#This Row],[Lab Q Model Units 2]]</f>
        <v>#N/A</v>
      </c>
      <c r="AD219" s="367" t="e">
        <f>RawMaterials[[#This Row],[Lab Price 3]]/RawMaterials[[#This Row],[Lab Q Model Units 3]]</f>
        <v>#N/A</v>
      </c>
      <c r="AE219" s="367" t="e">
        <f>RawMaterials[[#This Row],[Lab Price 4]]/RawMaterials[[#This Row],[Lab Q Model Units 4]]</f>
        <v>#N/A</v>
      </c>
      <c r="AF219" s="367" t="str">
        <f ca="1">IF(RawMaterials[[#This Row],[Lab Quote Count]]&gt;1,SLOPE(LOG(INDIRECT("RawMaterials[@[Lab Unit P 1]:[Lab Unit P "&amp;RawMaterials[[#This Row],[Lab Quote Count]]&amp;"]]")),LOG(INDIRECT("RawMaterials[@[Lab Q Model Units 1]:[Lab Q Model Units "&amp;RawMaterials[[#This Row],[Lab Quote Count]]&amp;"]]"))),"")</f>
        <v/>
      </c>
      <c r="AG219" s="367" t="str">
        <f ca="1">IF(RawMaterials[[#This Row],[Lab Quote Count]]&gt;1,INTERCEPT(LOG(INDIRECT("RawMaterials[@[Lab Unit P 1]:[Lab Unit P "&amp;RawMaterials[[#This Row],[Lab Quote Count]]&amp;"]]")),LOG(INDIRECT("RawMaterials[@[Lab Q Model Units 1]:[Lab Q Model Units "&amp;RawMaterials[[#This Row],[Lab Quote Count]]&amp;"]]"))),"")</f>
        <v/>
      </c>
      <c r="AH219" s="368" t="str">
        <f>IF(RawMaterials[[#This Row],[Material Type]]="Metal Precursor","D13",IF(RawMaterials[[#This Row],[Material Type]]="Ligand","D13","D12"))</f>
        <v>D12</v>
      </c>
      <c r="AI219" s="369" t="str">
        <f ca="1">IF(RawMaterials[[#This Row],[Lab Quote Count]]&gt;1,10^RawMaterials[[#This Row],[Lab Log-Log Intercept]]*INDIRECT(RawMaterials[[#This Row],[Basis Cell]])^RawMaterials[[#This Row],[Lab Log-Log Slope]],"&gt;&gt;&gt; Enter 2 or more lab quotes &lt;&lt;&lt;")</f>
        <v>&gt;&gt;&gt; Enter 2 or more lab quotes &lt;&lt;&lt;</v>
      </c>
      <c r="AJ2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1.0449999999999999</v>
      </c>
      <c r="AL219" s="372">
        <f>IF(ISTEXT(RawMaterials[[#This Row],[Unit price in quote year]]),"Check calcs",RawMaterials[[#This Row],[Unit price in quote year]]/VLOOKUP(RawMaterials[[#This Row],[Quote Year]],ChemPPI[],14,FALSE)*VLOOKUP(BasisYear,ChemPPI[],14,FALSE))</f>
        <v>1.2230907431075406</v>
      </c>
      <c r="AM219" s="373" t="str">
        <f t="shared" si="3"/>
        <v>$/lb (2016)</v>
      </c>
    </row>
    <row r="220" spans="1:39">
      <c r="A220" s="263" t="s">
        <v>1325</v>
      </c>
      <c r="B220" s="264"/>
      <c r="C220" s="271"/>
      <c r="D220" s="365"/>
      <c r="E220" s="264">
        <v>100</v>
      </c>
      <c r="F220" s="264"/>
      <c r="G220" s="271"/>
      <c r="H220" s="271"/>
      <c r="I220" s="268"/>
      <c r="J220" s="271"/>
      <c r="K220" s="271"/>
      <c r="L220" s="271"/>
      <c r="M220" s="271"/>
      <c r="N220" s="271"/>
      <c r="O220" s="271"/>
      <c r="P220" s="265">
        <v>0.75</v>
      </c>
      <c r="Q220" s="264">
        <v>1</v>
      </c>
      <c r="R220" s="264" t="s">
        <v>20</v>
      </c>
      <c r="S220" s="264">
        <v>2008</v>
      </c>
      <c r="T220" s="266" t="s">
        <v>163</v>
      </c>
      <c r="U220" s="267">
        <v>42653</v>
      </c>
      <c r="V220" s="269"/>
      <c r="W220" s="366">
        <f>COUNT(RawMaterials[[#This Row],[Lab Quantity 1]:[Lab Quantity 4]])</f>
        <v>0</v>
      </c>
      <c r="X2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0" s="367" t="e">
        <f>RawMaterials[[#This Row],[Lab Price 1]]/RawMaterials[[#This Row],[Lab Q Model Units 1]]</f>
        <v>#N/A</v>
      </c>
      <c r="AC220" s="367" t="e">
        <f>RawMaterials[[#This Row],[Lab Price 2]]/RawMaterials[[#This Row],[Lab Q Model Units 2]]</f>
        <v>#N/A</v>
      </c>
      <c r="AD220" s="367" t="e">
        <f>RawMaterials[[#This Row],[Lab Price 3]]/RawMaterials[[#This Row],[Lab Q Model Units 3]]</f>
        <v>#N/A</v>
      </c>
      <c r="AE220" s="367" t="e">
        <f>RawMaterials[[#This Row],[Lab Price 4]]/RawMaterials[[#This Row],[Lab Q Model Units 4]]</f>
        <v>#N/A</v>
      </c>
      <c r="AF220" s="367" t="str">
        <f ca="1">IF(RawMaterials[[#This Row],[Lab Quote Count]]&gt;1,SLOPE(LOG(INDIRECT("RawMaterials[@[Lab Unit P 1]:[Lab Unit P "&amp;RawMaterials[[#This Row],[Lab Quote Count]]&amp;"]]")),LOG(INDIRECT("RawMaterials[@[Lab Q Model Units 1]:[Lab Q Model Units "&amp;RawMaterials[[#This Row],[Lab Quote Count]]&amp;"]]"))),"")</f>
        <v/>
      </c>
      <c r="AG220" s="367" t="str">
        <f ca="1">IF(RawMaterials[[#This Row],[Lab Quote Count]]&gt;1,INTERCEPT(LOG(INDIRECT("RawMaterials[@[Lab Unit P 1]:[Lab Unit P "&amp;RawMaterials[[#This Row],[Lab Quote Count]]&amp;"]]")),LOG(INDIRECT("RawMaterials[@[Lab Q Model Units 1]:[Lab Q Model Units "&amp;RawMaterials[[#This Row],[Lab Quote Count]]&amp;"]]"))),"")</f>
        <v/>
      </c>
      <c r="AH220" s="368" t="str">
        <f>IF(RawMaterials[[#This Row],[Material Type]]="Metal Precursor","D13",IF(RawMaterials[[#This Row],[Material Type]]="Ligand","D13","D12"))</f>
        <v>D12</v>
      </c>
      <c r="AI220" s="369" t="str">
        <f ca="1">IF(RawMaterials[[#This Row],[Lab Quote Count]]&gt;1,10^RawMaterials[[#This Row],[Lab Log-Log Intercept]]*INDIRECT(RawMaterials[[#This Row],[Basis Cell]])^RawMaterials[[#This Row],[Lab Log-Log Slope]],"&gt;&gt;&gt; Enter 2 or more lab quotes &lt;&lt;&lt;")</f>
        <v>&gt;&gt;&gt; Enter 2 or more lab quotes &lt;&lt;&lt;</v>
      </c>
      <c r="AJ2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20" s="372">
        <f>IF(ISTEXT(RawMaterials[[#This Row],[Unit price in quote year]]),"Check calcs",RawMaterials[[#This Row],[Unit price in quote year]]/VLOOKUP(RawMaterials[[#This Row],[Quote Year]],ChemPPI[],14,FALSE)*VLOOKUP(BasisYear,ChemPPI[],14,FALSE))</f>
        <v>0.87781632280445498</v>
      </c>
      <c r="AM220" s="373" t="str">
        <f t="shared" si="3"/>
        <v>$/lb (2016)</v>
      </c>
    </row>
    <row r="221" spans="1:39">
      <c r="A221" s="263" t="s">
        <v>1326</v>
      </c>
      <c r="B221" s="264"/>
      <c r="C221" s="271"/>
      <c r="D221" s="365"/>
      <c r="E221" s="264">
        <v>100</v>
      </c>
      <c r="F221" s="264"/>
      <c r="G221" s="271"/>
      <c r="H221" s="271"/>
      <c r="I221" s="268"/>
      <c r="J221" s="271"/>
      <c r="K221" s="271"/>
      <c r="L221" s="271"/>
      <c r="M221" s="271"/>
      <c r="N221" s="271"/>
      <c r="O221" s="271"/>
      <c r="P221" s="265">
        <v>0.9</v>
      </c>
      <c r="Q221" s="264">
        <v>1</v>
      </c>
      <c r="R221" s="264" t="s">
        <v>20</v>
      </c>
      <c r="S221" s="264">
        <v>2008</v>
      </c>
      <c r="T221" s="266" t="s">
        <v>163</v>
      </c>
      <c r="U221" s="267">
        <v>42653</v>
      </c>
      <c r="V221" s="269"/>
      <c r="W221" s="366">
        <f>COUNT(RawMaterials[[#This Row],[Lab Quantity 1]:[Lab Quantity 4]])</f>
        <v>0</v>
      </c>
      <c r="X2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1" s="367" t="e">
        <f>RawMaterials[[#This Row],[Lab Price 1]]/RawMaterials[[#This Row],[Lab Q Model Units 1]]</f>
        <v>#N/A</v>
      </c>
      <c r="AC221" s="367" t="e">
        <f>RawMaterials[[#This Row],[Lab Price 2]]/RawMaterials[[#This Row],[Lab Q Model Units 2]]</f>
        <v>#N/A</v>
      </c>
      <c r="AD221" s="367" t="e">
        <f>RawMaterials[[#This Row],[Lab Price 3]]/RawMaterials[[#This Row],[Lab Q Model Units 3]]</f>
        <v>#N/A</v>
      </c>
      <c r="AE221" s="367" t="e">
        <f>RawMaterials[[#This Row],[Lab Price 4]]/RawMaterials[[#This Row],[Lab Q Model Units 4]]</f>
        <v>#N/A</v>
      </c>
      <c r="AF221" s="367" t="str">
        <f ca="1">IF(RawMaterials[[#This Row],[Lab Quote Count]]&gt;1,SLOPE(LOG(INDIRECT("RawMaterials[@[Lab Unit P 1]:[Lab Unit P "&amp;RawMaterials[[#This Row],[Lab Quote Count]]&amp;"]]")),LOG(INDIRECT("RawMaterials[@[Lab Q Model Units 1]:[Lab Q Model Units "&amp;RawMaterials[[#This Row],[Lab Quote Count]]&amp;"]]"))),"")</f>
        <v/>
      </c>
      <c r="AG221" s="367" t="str">
        <f ca="1">IF(RawMaterials[[#This Row],[Lab Quote Count]]&gt;1,INTERCEPT(LOG(INDIRECT("RawMaterials[@[Lab Unit P 1]:[Lab Unit P "&amp;RawMaterials[[#This Row],[Lab Quote Count]]&amp;"]]")),LOG(INDIRECT("RawMaterials[@[Lab Q Model Units 1]:[Lab Q Model Units "&amp;RawMaterials[[#This Row],[Lab Quote Count]]&amp;"]]"))),"")</f>
        <v/>
      </c>
      <c r="AH221" s="368" t="str">
        <f>IF(RawMaterials[[#This Row],[Material Type]]="Metal Precursor","D13",IF(RawMaterials[[#This Row],[Material Type]]="Ligand","D13","D12"))</f>
        <v>D12</v>
      </c>
      <c r="AI221" s="369" t="str">
        <f ca="1">IF(RawMaterials[[#This Row],[Lab Quote Count]]&gt;1,10^RawMaterials[[#This Row],[Lab Log-Log Intercept]]*INDIRECT(RawMaterials[[#This Row],[Basis Cell]])^RawMaterials[[#This Row],[Lab Log-Log Slope]],"&gt;&gt;&gt; Enter 2 or more lab quotes &lt;&lt;&lt;")</f>
        <v>&gt;&gt;&gt; Enter 2 or more lab quotes &lt;&lt;&lt;</v>
      </c>
      <c r="AJ2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v>
      </c>
      <c r="AL221" s="372">
        <f>IF(ISTEXT(RawMaterials[[#This Row],[Unit price in quote year]]),"Check calcs",RawMaterials[[#This Row],[Unit price in quote year]]/VLOOKUP(RawMaterials[[#This Row],[Quote Year]],ChemPPI[],14,FALSE)*VLOOKUP(BasisYear,ChemPPI[],14,FALSE))</f>
        <v>1.053379587365346</v>
      </c>
      <c r="AM221" s="373" t="str">
        <f t="shared" si="3"/>
        <v>$/lb (2016)</v>
      </c>
    </row>
    <row r="222" spans="1:39">
      <c r="A222" s="263" t="s">
        <v>1327</v>
      </c>
      <c r="B222" s="264"/>
      <c r="C222" s="271"/>
      <c r="D222" s="365"/>
      <c r="E222" s="264">
        <v>100</v>
      </c>
      <c r="F222" s="264"/>
      <c r="G222" s="271"/>
      <c r="H222" s="271"/>
      <c r="I222" s="268"/>
      <c r="J222" s="271"/>
      <c r="K222" s="271"/>
      <c r="L222" s="271"/>
      <c r="M222" s="271"/>
      <c r="N222" s="271"/>
      <c r="O222" s="271"/>
      <c r="P222" s="265">
        <v>0.76</v>
      </c>
      <c r="Q222" s="264">
        <v>1</v>
      </c>
      <c r="R222" s="264" t="s">
        <v>20</v>
      </c>
      <c r="S222" s="264">
        <v>2008</v>
      </c>
      <c r="T222" s="266" t="s">
        <v>163</v>
      </c>
      <c r="U222" s="267">
        <v>42653</v>
      </c>
      <c r="V222" s="269"/>
      <c r="W222" s="366">
        <f>COUNT(RawMaterials[[#This Row],[Lab Quantity 1]:[Lab Quantity 4]])</f>
        <v>0</v>
      </c>
      <c r="X2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2" s="367" t="e">
        <f>RawMaterials[[#This Row],[Lab Price 1]]/RawMaterials[[#This Row],[Lab Q Model Units 1]]</f>
        <v>#N/A</v>
      </c>
      <c r="AC222" s="367" t="e">
        <f>RawMaterials[[#This Row],[Lab Price 2]]/RawMaterials[[#This Row],[Lab Q Model Units 2]]</f>
        <v>#N/A</v>
      </c>
      <c r="AD222" s="367" t="e">
        <f>RawMaterials[[#This Row],[Lab Price 3]]/RawMaterials[[#This Row],[Lab Q Model Units 3]]</f>
        <v>#N/A</v>
      </c>
      <c r="AE222" s="367" t="e">
        <f>RawMaterials[[#This Row],[Lab Price 4]]/RawMaterials[[#This Row],[Lab Q Model Units 4]]</f>
        <v>#N/A</v>
      </c>
      <c r="AF222" s="367" t="str">
        <f ca="1">IF(RawMaterials[[#This Row],[Lab Quote Count]]&gt;1,SLOPE(LOG(INDIRECT("RawMaterials[@[Lab Unit P 1]:[Lab Unit P "&amp;RawMaterials[[#This Row],[Lab Quote Count]]&amp;"]]")),LOG(INDIRECT("RawMaterials[@[Lab Q Model Units 1]:[Lab Q Model Units "&amp;RawMaterials[[#This Row],[Lab Quote Count]]&amp;"]]"))),"")</f>
        <v/>
      </c>
      <c r="AG222" s="367" t="str">
        <f ca="1">IF(RawMaterials[[#This Row],[Lab Quote Count]]&gt;1,INTERCEPT(LOG(INDIRECT("RawMaterials[@[Lab Unit P 1]:[Lab Unit P "&amp;RawMaterials[[#This Row],[Lab Quote Count]]&amp;"]]")),LOG(INDIRECT("RawMaterials[@[Lab Q Model Units 1]:[Lab Q Model Units "&amp;RawMaterials[[#This Row],[Lab Quote Count]]&amp;"]]"))),"")</f>
        <v/>
      </c>
      <c r="AH222" s="368" t="str">
        <f>IF(RawMaterials[[#This Row],[Material Type]]="Metal Precursor","D13",IF(RawMaterials[[#This Row],[Material Type]]="Ligand","D13","D12"))</f>
        <v>D12</v>
      </c>
      <c r="AI222" s="369" t="str">
        <f ca="1">IF(RawMaterials[[#This Row],[Lab Quote Count]]&gt;1,10^RawMaterials[[#This Row],[Lab Log-Log Intercept]]*INDIRECT(RawMaterials[[#This Row],[Basis Cell]])^RawMaterials[[#This Row],[Lab Log-Log Slope]],"&gt;&gt;&gt; Enter 2 or more lab quotes &lt;&lt;&lt;")</f>
        <v>&gt;&gt;&gt; Enter 2 or more lab quotes &lt;&lt;&lt;</v>
      </c>
      <c r="AJ2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v>
      </c>
      <c r="AL222" s="372">
        <f>IF(ISTEXT(RawMaterials[[#This Row],[Unit price in quote year]]),"Check calcs",RawMaterials[[#This Row],[Unit price in quote year]]/VLOOKUP(RawMaterials[[#This Row],[Quote Year]],ChemPPI[],14,FALSE)*VLOOKUP(BasisYear,ChemPPI[],14,FALSE))</f>
        <v>0.88952054044184781</v>
      </c>
      <c r="AM222" s="373" t="str">
        <f t="shared" si="3"/>
        <v>$/lb (2016)</v>
      </c>
    </row>
    <row r="223" spans="1:39">
      <c r="A223" s="263" t="s">
        <v>1328</v>
      </c>
      <c r="B223" s="264"/>
      <c r="C223" s="271"/>
      <c r="D223" s="365"/>
      <c r="E223" s="264">
        <v>100</v>
      </c>
      <c r="F223" s="264"/>
      <c r="G223" s="271"/>
      <c r="H223" s="271"/>
      <c r="I223" s="268"/>
      <c r="J223" s="271"/>
      <c r="K223" s="271"/>
      <c r="L223" s="271"/>
      <c r="M223" s="271"/>
      <c r="N223" s="271"/>
      <c r="O223" s="271"/>
      <c r="P223" s="265">
        <v>0.93500000000000005</v>
      </c>
      <c r="Q223" s="264">
        <v>1</v>
      </c>
      <c r="R223" s="264" t="s">
        <v>20</v>
      </c>
      <c r="S223" s="264">
        <v>2008</v>
      </c>
      <c r="T223" s="266" t="s">
        <v>163</v>
      </c>
      <c r="U223" s="267">
        <v>42653</v>
      </c>
      <c r="V223" s="269"/>
      <c r="W223" s="366">
        <f>COUNT(RawMaterials[[#This Row],[Lab Quantity 1]:[Lab Quantity 4]])</f>
        <v>0</v>
      </c>
      <c r="X2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3" s="367" t="e">
        <f>RawMaterials[[#This Row],[Lab Price 1]]/RawMaterials[[#This Row],[Lab Q Model Units 1]]</f>
        <v>#N/A</v>
      </c>
      <c r="AC223" s="367" t="e">
        <f>RawMaterials[[#This Row],[Lab Price 2]]/RawMaterials[[#This Row],[Lab Q Model Units 2]]</f>
        <v>#N/A</v>
      </c>
      <c r="AD223" s="367" t="e">
        <f>RawMaterials[[#This Row],[Lab Price 3]]/RawMaterials[[#This Row],[Lab Q Model Units 3]]</f>
        <v>#N/A</v>
      </c>
      <c r="AE223" s="367" t="e">
        <f>RawMaterials[[#This Row],[Lab Price 4]]/RawMaterials[[#This Row],[Lab Q Model Units 4]]</f>
        <v>#N/A</v>
      </c>
      <c r="AF223" s="367" t="str">
        <f ca="1">IF(RawMaterials[[#This Row],[Lab Quote Count]]&gt;1,SLOPE(LOG(INDIRECT("RawMaterials[@[Lab Unit P 1]:[Lab Unit P "&amp;RawMaterials[[#This Row],[Lab Quote Count]]&amp;"]]")),LOG(INDIRECT("RawMaterials[@[Lab Q Model Units 1]:[Lab Q Model Units "&amp;RawMaterials[[#This Row],[Lab Quote Count]]&amp;"]]"))),"")</f>
        <v/>
      </c>
      <c r="AG223" s="367" t="str">
        <f ca="1">IF(RawMaterials[[#This Row],[Lab Quote Count]]&gt;1,INTERCEPT(LOG(INDIRECT("RawMaterials[@[Lab Unit P 1]:[Lab Unit P "&amp;RawMaterials[[#This Row],[Lab Quote Count]]&amp;"]]")),LOG(INDIRECT("RawMaterials[@[Lab Q Model Units 1]:[Lab Q Model Units "&amp;RawMaterials[[#This Row],[Lab Quote Count]]&amp;"]]"))),"")</f>
        <v/>
      </c>
      <c r="AH223" s="368" t="str">
        <f>IF(RawMaterials[[#This Row],[Material Type]]="Metal Precursor","D13",IF(RawMaterials[[#This Row],[Material Type]]="Ligand","D13","D12"))</f>
        <v>D12</v>
      </c>
      <c r="AI223" s="369" t="str">
        <f ca="1">IF(RawMaterials[[#This Row],[Lab Quote Count]]&gt;1,10^RawMaterials[[#This Row],[Lab Log-Log Intercept]]*INDIRECT(RawMaterials[[#This Row],[Basis Cell]])^RawMaterials[[#This Row],[Lab Log-Log Slope]],"&gt;&gt;&gt; Enter 2 or more lab quotes &lt;&lt;&lt;")</f>
        <v>&gt;&gt;&gt; Enter 2 or more lab quotes &lt;&lt;&lt;</v>
      </c>
      <c r="AJ2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223" s="372">
        <f>IF(ISTEXT(RawMaterials[[#This Row],[Unit price in quote year]]),"Check calcs",RawMaterials[[#This Row],[Unit price in quote year]]/VLOOKUP(RawMaterials[[#This Row],[Quote Year]],ChemPPI[],14,FALSE)*VLOOKUP(BasisYear,ChemPPI[],14,FALSE))</f>
        <v>1.0943443490962206</v>
      </c>
      <c r="AM223" s="373" t="str">
        <f t="shared" si="3"/>
        <v>$/lb (2016)</v>
      </c>
    </row>
    <row r="224" spans="1:39">
      <c r="A224" s="377" t="s">
        <v>190</v>
      </c>
      <c r="B224" s="379"/>
      <c r="C224" s="383"/>
      <c r="D224" s="378"/>
      <c r="E224" s="379">
        <v>100</v>
      </c>
      <c r="F224" s="379"/>
      <c r="G224" s="383"/>
      <c r="H224" s="383"/>
      <c r="I224" s="380"/>
      <c r="J224" s="383"/>
      <c r="K224" s="383"/>
      <c r="L224" s="383"/>
      <c r="M224" s="383"/>
      <c r="N224" s="383"/>
      <c r="O224" s="383"/>
      <c r="P224" s="381">
        <v>1200.8</v>
      </c>
      <c r="Q224" s="264">
        <v>1</v>
      </c>
      <c r="R224" s="379" t="s">
        <v>62</v>
      </c>
      <c r="S224" s="379">
        <v>2018</v>
      </c>
      <c r="T224" s="366" t="s">
        <v>1105</v>
      </c>
      <c r="U224" s="382">
        <v>43339</v>
      </c>
      <c r="V224" s="269" t="s">
        <v>1716</v>
      </c>
      <c r="W224" s="366">
        <f>COUNT(RawMaterials[[#This Row],[Lab Quantity 1]:[Lab Quantity 4]])</f>
        <v>0</v>
      </c>
      <c r="X2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4" s="367" t="e">
        <f>RawMaterials[[#This Row],[Lab Price 1]]/RawMaterials[[#This Row],[Lab Q Model Units 1]]</f>
        <v>#N/A</v>
      </c>
      <c r="AC224" s="367" t="e">
        <f>RawMaterials[[#This Row],[Lab Price 2]]/RawMaterials[[#This Row],[Lab Q Model Units 2]]</f>
        <v>#N/A</v>
      </c>
      <c r="AD224" s="367" t="e">
        <f>RawMaterials[[#This Row],[Lab Price 3]]/RawMaterials[[#This Row],[Lab Q Model Units 3]]</f>
        <v>#N/A</v>
      </c>
      <c r="AE224" s="367" t="e">
        <f>RawMaterials[[#This Row],[Lab Price 4]]/RawMaterials[[#This Row],[Lab Q Model Units 4]]</f>
        <v>#N/A</v>
      </c>
      <c r="AF224" s="367" t="str">
        <f ca="1">IF(RawMaterials[[#This Row],[Lab Quote Count]]&gt;1,SLOPE(LOG(INDIRECT("RawMaterials[@[Lab Unit P 1]:[Lab Unit P "&amp;RawMaterials[[#This Row],[Lab Quote Count]]&amp;"]]")),LOG(INDIRECT("RawMaterials[@[Lab Q Model Units 1]:[Lab Q Model Units "&amp;RawMaterials[[#This Row],[Lab Quote Count]]&amp;"]]"))),"")</f>
        <v/>
      </c>
      <c r="AG224" s="367" t="str">
        <f ca="1">IF(RawMaterials[[#This Row],[Lab Quote Count]]&gt;1,INTERCEPT(LOG(INDIRECT("RawMaterials[@[Lab Unit P 1]:[Lab Unit P "&amp;RawMaterials[[#This Row],[Lab Quote Count]]&amp;"]]")),LOG(INDIRECT("RawMaterials[@[Lab Q Model Units 1]:[Lab Q Model Units "&amp;RawMaterials[[#This Row],[Lab Quote Count]]&amp;"]]"))),"")</f>
        <v/>
      </c>
      <c r="AH224" s="368" t="str">
        <f>IF(RawMaterials[[#This Row],[Material Type]]="Metal Precursor","D13",IF(RawMaterials[[#This Row],[Material Type]]="Ligand","D13","D12"))</f>
        <v>D12</v>
      </c>
      <c r="AI224" s="369" t="str">
        <f ca="1">IF(RawMaterials[[#This Row],[Lab Quote Count]]&gt;1,10^RawMaterials[[#This Row],[Lab Log-Log Intercept]]*INDIRECT(RawMaterials[[#This Row],[Basis Cell]])^RawMaterials[[#This Row],[Lab Log-Log Slope]],"&gt;&gt;&gt; Enter 2 or more lab quotes &lt;&lt;&lt;")</f>
        <v>&gt;&gt;&gt; Enter 2 or more lab quotes &lt;&lt;&lt;</v>
      </c>
      <c r="AJ2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17511.666666666668</v>
      </c>
      <c r="AL224" s="372">
        <f>IF(ISTEXT(RawMaterials[[#This Row],[Unit price in quote year]]),"Check calcs",RawMaterials[[#This Row],[Unit price in quote year]]/VLOOKUP(RawMaterials[[#This Row],[Quote Year]],ChemPPI[],14,FALSE)*VLOOKUP(BasisYear,ChemPPI[],14,FALSE))</f>
        <v>16270.231552339874</v>
      </c>
      <c r="AM224" s="373" t="str">
        <f t="shared" si="3"/>
        <v>$/lb (2016)</v>
      </c>
    </row>
    <row r="225" spans="1:39">
      <c r="A225" s="263" t="s">
        <v>1329</v>
      </c>
      <c r="B225" s="264"/>
      <c r="C225" s="271"/>
      <c r="D225" s="365"/>
      <c r="E225" s="264">
        <v>100</v>
      </c>
      <c r="F225" s="264"/>
      <c r="G225" s="271"/>
      <c r="H225" s="271"/>
      <c r="I225" s="268"/>
      <c r="J225" s="271"/>
      <c r="K225" s="271"/>
      <c r="L225" s="271"/>
      <c r="M225" s="271"/>
      <c r="N225" s="271"/>
      <c r="O225" s="271"/>
      <c r="P225" s="265">
        <v>0.26</v>
      </c>
      <c r="Q225" s="264">
        <v>1</v>
      </c>
      <c r="R225" s="264" t="s">
        <v>20</v>
      </c>
      <c r="S225" s="264">
        <v>2007</v>
      </c>
      <c r="T225" s="266" t="s">
        <v>163</v>
      </c>
      <c r="U225" s="267">
        <v>42653</v>
      </c>
      <c r="V225" s="269"/>
      <c r="W225" s="366">
        <f>COUNT(RawMaterials[[#This Row],[Lab Quantity 1]:[Lab Quantity 4]])</f>
        <v>0</v>
      </c>
      <c r="X2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5" s="367" t="e">
        <f>RawMaterials[[#This Row],[Lab Price 1]]/RawMaterials[[#This Row],[Lab Q Model Units 1]]</f>
        <v>#N/A</v>
      </c>
      <c r="AC225" s="367" t="e">
        <f>RawMaterials[[#This Row],[Lab Price 2]]/RawMaterials[[#This Row],[Lab Q Model Units 2]]</f>
        <v>#N/A</v>
      </c>
      <c r="AD225" s="367" t="e">
        <f>RawMaterials[[#This Row],[Lab Price 3]]/RawMaterials[[#This Row],[Lab Q Model Units 3]]</f>
        <v>#N/A</v>
      </c>
      <c r="AE225" s="367" t="e">
        <f>RawMaterials[[#This Row],[Lab Price 4]]/RawMaterials[[#This Row],[Lab Q Model Units 4]]</f>
        <v>#N/A</v>
      </c>
      <c r="AF225" s="367" t="str">
        <f ca="1">IF(RawMaterials[[#This Row],[Lab Quote Count]]&gt;1,SLOPE(LOG(INDIRECT("RawMaterials[@[Lab Unit P 1]:[Lab Unit P "&amp;RawMaterials[[#This Row],[Lab Quote Count]]&amp;"]]")),LOG(INDIRECT("RawMaterials[@[Lab Q Model Units 1]:[Lab Q Model Units "&amp;RawMaterials[[#This Row],[Lab Quote Count]]&amp;"]]"))),"")</f>
        <v/>
      </c>
      <c r="AG225" s="367" t="str">
        <f ca="1">IF(RawMaterials[[#This Row],[Lab Quote Count]]&gt;1,INTERCEPT(LOG(INDIRECT("RawMaterials[@[Lab Unit P 1]:[Lab Unit P "&amp;RawMaterials[[#This Row],[Lab Quote Count]]&amp;"]]")),LOG(INDIRECT("RawMaterials[@[Lab Q Model Units 1]:[Lab Q Model Units "&amp;RawMaterials[[#This Row],[Lab Quote Count]]&amp;"]]"))),"")</f>
        <v/>
      </c>
      <c r="AH225" s="368" t="str">
        <f>IF(RawMaterials[[#This Row],[Material Type]]="Metal Precursor","D13",IF(RawMaterials[[#This Row],[Material Type]]="Ligand","D13","D12"))</f>
        <v>D12</v>
      </c>
      <c r="AI225" s="369" t="str">
        <f ca="1">IF(RawMaterials[[#This Row],[Lab Quote Count]]&gt;1,10^RawMaterials[[#This Row],[Lab Log-Log Intercept]]*INDIRECT(RawMaterials[[#This Row],[Basis Cell]])^RawMaterials[[#This Row],[Lab Log-Log Slope]],"&gt;&gt;&gt; Enter 2 or more lab quotes &lt;&lt;&lt;")</f>
        <v>&gt;&gt;&gt; Enter 2 or more lab quotes &lt;&lt;&lt;</v>
      </c>
      <c r="AJ2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225" s="372">
        <f>IF(ISTEXT(RawMaterials[[#This Row],[Unit price in quote year]]),"Check calcs",RawMaterials[[#This Row],[Unit price in quote year]]/VLOOKUP(RawMaterials[[#This Row],[Quote Year]],ChemPPI[],14,FALSE)*VLOOKUP(BasisYear,ChemPPI[],14,FALSE))</f>
        <v>0.34152370804475229</v>
      </c>
      <c r="AM225" s="373" t="str">
        <f t="shared" si="3"/>
        <v>$/lb (2016)</v>
      </c>
    </row>
    <row r="226" spans="1:39">
      <c r="A226" s="263" t="s">
        <v>1330</v>
      </c>
      <c r="B226" s="264"/>
      <c r="C226" s="271"/>
      <c r="D226" s="365"/>
      <c r="E226" s="264">
        <v>100</v>
      </c>
      <c r="F226" s="264"/>
      <c r="G226" s="271"/>
      <c r="H226" s="271"/>
      <c r="I226" s="268"/>
      <c r="J226" s="271"/>
      <c r="K226" s="271"/>
      <c r="L226" s="271"/>
      <c r="M226" s="271"/>
      <c r="N226" s="271"/>
      <c r="O226" s="271"/>
      <c r="P226" s="265">
        <v>0.32</v>
      </c>
      <c r="Q226" s="264">
        <v>1</v>
      </c>
      <c r="R226" s="264" t="s">
        <v>20</v>
      </c>
      <c r="S226" s="264">
        <v>2007</v>
      </c>
      <c r="T226" s="266" t="s">
        <v>163</v>
      </c>
      <c r="U226" s="267">
        <v>42653</v>
      </c>
      <c r="V226" s="269"/>
      <c r="W226" s="366">
        <f>COUNT(RawMaterials[[#This Row],[Lab Quantity 1]:[Lab Quantity 4]])</f>
        <v>0</v>
      </c>
      <c r="X2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6" s="367" t="e">
        <f>RawMaterials[[#This Row],[Lab Price 1]]/RawMaterials[[#This Row],[Lab Q Model Units 1]]</f>
        <v>#N/A</v>
      </c>
      <c r="AC226" s="367" t="e">
        <f>RawMaterials[[#This Row],[Lab Price 2]]/RawMaterials[[#This Row],[Lab Q Model Units 2]]</f>
        <v>#N/A</v>
      </c>
      <c r="AD226" s="367" t="e">
        <f>RawMaterials[[#This Row],[Lab Price 3]]/RawMaterials[[#This Row],[Lab Q Model Units 3]]</f>
        <v>#N/A</v>
      </c>
      <c r="AE226" s="367" t="e">
        <f>RawMaterials[[#This Row],[Lab Price 4]]/RawMaterials[[#This Row],[Lab Q Model Units 4]]</f>
        <v>#N/A</v>
      </c>
      <c r="AF226" s="367" t="str">
        <f ca="1">IF(RawMaterials[[#This Row],[Lab Quote Count]]&gt;1,SLOPE(LOG(INDIRECT("RawMaterials[@[Lab Unit P 1]:[Lab Unit P "&amp;RawMaterials[[#This Row],[Lab Quote Count]]&amp;"]]")),LOG(INDIRECT("RawMaterials[@[Lab Q Model Units 1]:[Lab Q Model Units "&amp;RawMaterials[[#This Row],[Lab Quote Count]]&amp;"]]"))),"")</f>
        <v/>
      </c>
      <c r="AG226" s="367" t="str">
        <f ca="1">IF(RawMaterials[[#This Row],[Lab Quote Count]]&gt;1,INTERCEPT(LOG(INDIRECT("RawMaterials[@[Lab Unit P 1]:[Lab Unit P "&amp;RawMaterials[[#This Row],[Lab Quote Count]]&amp;"]]")),LOG(INDIRECT("RawMaterials[@[Lab Q Model Units 1]:[Lab Q Model Units "&amp;RawMaterials[[#This Row],[Lab Quote Count]]&amp;"]]"))),"")</f>
        <v/>
      </c>
      <c r="AH226" s="368" t="str">
        <f>IF(RawMaterials[[#This Row],[Material Type]]="Metal Precursor","D13",IF(RawMaterials[[#This Row],[Material Type]]="Ligand","D13","D12"))</f>
        <v>D12</v>
      </c>
      <c r="AI226" s="369" t="str">
        <f ca="1">IF(RawMaterials[[#This Row],[Lab Quote Count]]&gt;1,10^RawMaterials[[#This Row],[Lab Log-Log Intercept]]*INDIRECT(RawMaterials[[#This Row],[Basis Cell]])^RawMaterials[[#This Row],[Lab Log-Log Slope]],"&gt;&gt;&gt; Enter 2 or more lab quotes &lt;&lt;&lt;")</f>
        <v>&gt;&gt;&gt; Enter 2 or more lab quotes &lt;&lt;&lt;</v>
      </c>
      <c r="AJ2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26" s="372">
        <f>IF(ISTEXT(RawMaterials[[#This Row],[Unit price in quote year]]),"Check calcs",RawMaterials[[#This Row],[Unit price in quote year]]/VLOOKUP(RawMaterials[[#This Row],[Quote Year]],ChemPPI[],14,FALSE)*VLOOKUP(BasisYear,ChemPPI[],14,FALSE))</f>
        <v>0.42033687143969511</v>
      </c>
      <c r="AM226" s="373" t="str">
        <f t="shared" si="3"/>
        <v>$/lb (2016)</v>
      </c>
    </row>
    <row r="227" spans="1:39">
      <c r="A227" s="263" t="s">
        <v>1331</v>
      </c>
      <c r="B227" s="264"/>
      <c r="C227" s="271"/>
      <c r="D227" s="365">
        <v>0.68400000000000005</v>
      </c>
      <c r="E227" s="264">
        <v>100</v>
      </c>
      <c r="F227" s="264"/>
      <c r="G227" s="271"/>
      <c r="H227" s="271"/>
      <c r="I227" s="268"/>
      <c r="J227" s="271"/>
      <c r="K227" s="271"/>
      <c r="L227" s="271"/>
      <c r="M227" s="271"/>
      <c r="N227" s="271"/>
      <c r="O227" s="271"/>
      <c r="P227" s="265">
        <v>1.4249999999999901</v>
      </c>
      <c r="Q227" s="264">
        <v>1</v>
      </c>
      <c r="R227" s="264" t="s">
        <v>85</v>
      </c>
      <c r="S227" s="264">
        <v>2006</v>
      </c>
      <c r="T227" s="266" t="s">
        <v>163</v>
      </c>
      <c r="U227" s="267">
        <v>42653</v>
      </c>
      <c r="V227" s="269"/>
      <c r="W227" s="366">
        <f>COUNT(RawMaterials[[#This Row],[Lab Quantity 1]:[Lab Quantity 4]])</f>
        <v>0</v>
      </c>
      <c r="X2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7" s="367" t="e">
        <f>RawMaterials[[#This Row],[Lab Price 1]]/RawMaterials[[#This Row],[Lab Q Model Units 1]]</f>
        <v>#N/A</v>
      </c>
      <c r="AC227" s="367" t="e">
        <f>RawMaterials[[#This Row],[Lab Price 2]]/RawMaterials[[#This Row],[Lab Q Model Units 2]]</f>
        <v>#N/A</v>
      </c>
      <c r="AD227" s="367" t="e">
        <f>RawMaterials[[#This Row],[Lab Price 3]]/RawMaterials[[#This Row],[Lab Q Model Units 3]]</f>
        <v>#N/A</v>
      </c>
      <c r="AE227" s="367" t="e">
        <f>RawMaterials[[#This Row],[Lab Price 4]]/RawMaterials[[#This Row],[Lab Q Model Units 4]]</f>
        <v>#N/A</v>
      </c>
      <c r="AF227" s="367" t="str">
        <f ca="1">IF(RawMaterials[[#This Row],[Lab Quote Count]]&gt;1,SLOPE(LOG(INDIRECT("RawMaterials[@[Lab Unit P 1]:[Lab Unit P "&amp;RawMaterials[[#This Row],[Lab Quote Count]]&amp;"]]")),LOG(INDIRECT("RawMaterials[@[Lab Q Model Units 1]:[Lab Q Model Units "&amp;RawMaterials[[#This Row],[Lab Quote Count]]&amp;"]]"))),"")</f>
        <v/>
      </c>
      <c r="AG227" s="367" t="str">
        <f ca="1">IF(RawMaterials[[#This Row],[Lab Quote Count]]&gt;1,INTERCEPT(LOG(INDIRECT("RawMaterials[@[Lab Unit P 1]:[Lab Unit P "&amp;RawMaterials[[#This Row],[Lab Quote Count]]&amp;"]]")),LOG(INDIRECT("RawMaterials[@[Lab Q Model Units 1]:[Lab Q Model Units "&amp;RawMaterials[[#This Row],[Lab Quote Count]]&amp;"]]"))),"")</f>
        <v/>
      </c>
      <c r="AH227" s="368" t="str">
        <f>IF(RawMaterials[[#This Row],[Material Type]]="Metal Precursor","D13",IF(RawMaterials[[#This Row],[Material Type]]="Ligand","D13","D12"))</f>
        <v>D12</v>
      </c>
      <c r="AI227" s="369" t="str">
        <f ca="1">IF(RawMaterials[[#This Row],[Lab Quote Count]]&gt;1,10^RawMaterials[[#This Row],[Lab Log-Log Intercept]]*INDIRECT(RawMaterials[[#This Row],[Basis Cell]])^RawMaterials[[#This Row],[Lab Log-Log Slope]],"&gt;&gt;&gt; Enter 2 or more lab quotes &lt;&lt;&lt;")</f>
        <v>&gt;&gt;&gt; Enter 2 or more lab quotes &lt;&lt;&lt;</v>
      </c>
      <c r="AJ2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7" s="372">
        <f>IF(ISTEXT(RawMaterials[[#This Row],[Unit price in quote year]]),"Check calcs",RawMaterials[[#This Row],[Unit price in quote year]]/VLOOKUP(RawMaterials[[#This Row],[Quote Year]],ChemPPI[],14,FALSE)*VLOOKUP(BasisYear,ChemPPI[],14,FALSE))</f>
        <v>0.33881307944129901</v>
      </c>
      <c r="AM227" s="373" t="str">
        <f t="shared" si="3"/>
        <v>$/lb (2016)</v>
      </c>
    </row>
    <row r="228" spans="1:39">
      <c r="A228" s="263" t="s">
        <v>1332</v>
      </c>
      <c r="B228" s="264"/>
      <c r="C228" s="271"/>
      <c r="D228" s="365">
        <v>0.68400000000000005</v>
      </c>
      <c r="E228" s="264">
        <v>100</v>
      </c>
      <c r="F228" s="264"/>
      <c r="G228" s="271"/>
      <c r="H228" s="271"/>
      <c r="I228" s="268"/>
      <c r="J228" s="271"/>
      <c r="K228" s="271"/>
      <c r="L228" s="271"/>
      <c r="M228" s="271"/>
      <c r="N228" s="271"/>
      <c r="O228" s="271"/>
      <c r="P228" s="265">
        <v>1.4249999999999901</v>
      </c>
      <c r="Q228" s="264">
        <v>1</v>
      </c>
      <c r="R228" s="264" t="s">
        <v>85</v>
      </c>
      <c r="S228" s="264">
        <v>2006</v>
      </c>
      <c r="T228" s="266" t="s">
        <v>163</v>
      </c>
      <c r="U228" s="267">
        <v>42653</v>
      </c>
      <c r="V228" s="269"/>
      <c r="W228" s="366">
        <f>COUNT(RawMaterials[[#This Row],[Lab Quantity 1]:[Lab Quantity 4]])</f>
        <v>0</v>
      </c>
      <c r="X2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8" s="367" t="e">
        <f>RawMaterials[[#This Row],[Lab Price 1]]/RawMaterials[[#This Row],[Lab Q Model Units 1]]</f>
        <v>#N/A</v>
      </c>
      <c r="AC228" s="367" t="e">
        <f>RawMaterials[[#This Row],[Lab Price 2]]/RawMaterials[[#This Row],[Lab Q Model Units 2]]</f>
        <v>#N/A</v>
      </c>
      <c r="AD228" s="367" t="e">
        <f>RawMaterials[[#This Row],[Lab Price 3]]/RawMaterials[[#This Row],[Lab Q Model Units 3]]</f>
        <v>#N/A</v>
      </c>
      <c r="AE228" s="367" t="e">
        <f>RawMaterials[[#This Row],[Lab Price 4]]/RawMaterials[[#This Row],[Lab Q Model Units 4]]</f>
        <v>#N/A</v>
      </c>
      <c r="AF228" s="367" t="str">
        <f ca="1">IF(RawMaterials[[#This Row],[Lab Quote Count]]&gt;1,SLOPE(LOG(INDIRECT("RawMaterials[@[Lab Unit P 1]:[Lab Unit P "&amp;RawMaterials[[#This Row],[Lab Quote Count]]&amp;"]]")),LOG(INDIRECT("RawMaterials[@[Lab Q Model Units 1]:[Lab Q Model Units "&amp;RawMaterials[[#This Row],[Lab Quote Count]]&amp;"]]"))),"")</f>
        <v/>
      </c>
      <c r="AG228" s="367" t="str">
        <f ca="1">IF(RawMaterials[[#This Row],[Lab Quote Count]]&gt;1,INTERCEPT(LOG(INDIRECT("RawMaterials[@[Lab Unit P 1]:[Lab Unit P "&amp;RawMaterials[[#This Row],[Lab Quote Count]]&amp;"]]")),LOG(INDIRECT("RawMaterials[@[Lab Q Model Units 1]:[Lab Q Model Units "&amp;RawMaterials[[#This Row],[Lab Quote Count]]&amp;"]]"))),"")</f>
        <v/>
      </c>
      <c r="AH228" s="368" t="str">
        <f>IF(RawMaterials[[#This Row],[Material Type]]="Metal Precursor","D13",IF(RawMaterials[[#This Row],[Material Type]]="Ligand","D13","D12"))</f>
        <v>D12</v>
      </c>
      <c r="AI228" s="369" t="str">
        <f ca="1">IF(RawMaterials[[#This Row],[Lab Quote Count]]&gt;1,10^RawMaterials[[#This Row],[Lab Log-Log Intercept]]*INDIRECT(RawMaterials[[#This Row],[Basis Cell]])^RawMaterials[[#This Row],[Lab Log-Log Slope]],"&gt;&gt;&gt; Enter 2 or more lab quotes &lt;&lt;&lt;")</f>
        <v>&gt;&gt;&gt; Enter 2 or more lab quotes &lt;&lt;&lt;</v>
      </c>
      <c r="AJ2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5.7082566451812236</v>
      </c>
      <c r="AK2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0.24963839024353288</v>
      </c>
      <c r="AL228" s="372">
        <f>IF(ISTEXT(RawMaterials[[#This Row],[Unit price in quote year]]),"Check calcs",RawMaterials[[#This Row],[Unit price in quote year]]/VLOOKUP(RawMaterials[[#This Row],[Quote Year]],ChemPPI[],14,FALSE)*VLOOKUP(BasisYear,ChemPPI[],14,FALSE))</f>
        <v>0.33881307944129901</v>
      </c>
      <c r="AM228" s="373" t="str">
        <f t="shared" si="3"/>
        <v>$/lb (2016)</v>
      </c>
    </row>
    <row r="229" spans="1:39">
      <c r="A229" s="263" t="s">
        <v>1333</v>
      </c>
      <c r="B229" s="264"/>
      <c r="C229" s="271"/>
      <c r="D229" s="365">
        <v>0.65500000000000003</v>
      </c>
      <c r="E229" s="264">
        <v>100</v>
      </c>
      <c r="F229" s="264"/>
      <c r="G229" s="271"/>
      <c r="H229" s="271"/>
      <c r="I229" s="268"/>
      <c r="J229" s="271"/>
      <c r="K229" s="271"/>
      <c r="L229" s="271"/>
      <c r="M229" s="271"/>
      <c r="N229" s="271"/>
      <c r="O229" s="271"/>
      <c r="P229" s="265">
        <v>1.17</v>
      </c>
      <c r="Q229" s="264">
        <v>1</v>
      </c>
      <c r="R229" s="264" t="s">
        <v>85</v>
      </c>
      <c r="S229" s="264">
        <v>2006</v>
      </c>
      <c r="T229" s="266" t="s">
        <v>163</v>
      </c>
      <c r="U229" s="267">
        <v>42653</v>
      </c>
      <c r="V229" s="269"/>
      <c r="W229" s="366">
        <f>COUNT(RawMaterials[[#This Row],[Lab Quantity 1]:[Lab Quantity 4]])</f>
        <v>0</v>
      </c>
      <c r="X2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29" s="367" t="e">
        <f>RawMaterials[[#This Row],[Lab Price 1]]/RawMaterials[[#This Row],[Lab Q Model Units 1]]</f>
        <v>#N/A</v>
      </c>
      <c r="AC229" s="367" t="e">
        <f>RawMaterials[[#This Row],[Lab Price 2]]/RawMaterials[[#This Row],[Lab Q Model Units 2]]</f>
        <v>#N/A</v>
      </c>
      <c r="AD229" s="367" t="e">
        <f>RawMaterials[[#This Row],[Lab Price 3]]/RawMaterials[[#This Row],[Lab Q Model Units 3]]</f>
        <v>#N/A</v>
      </c>
      <c r="AE229" s="367" t="e">
        <f>RawMaterials[[#This Row],[Lab Price 4]]/RawMaterials[[#This Row],[Lab Q Model Units 4]]</f>
        <v>#N/A</v>
      </c>
      <c r="AF229" s="367" t="str">
        <f ca="1">IF(RawMaterials[[#This Row],[Lab Quote Count]]&gt;1,SLOPE(LOG(INDIRECT("RawMaterials[@[Lab Unit P 1]:[Lab Unit P "&amp;RawMaterials[[#This Row],[Lab Quote Count]]&amp;"]]")),LOG(INDIRECT("RawMaterials[@[Lab Q Model Units 1]:[Lab Q Model Units "&amp;RawMaterials[[#This Row],[Lab Quote Count]]&amp;"]]"))),"")</f>
        <v/>
      </c>
      <c r="AG229" s="367" t="str">
        <f ca="1">IF(RawMaterials[[#This Row],[Lab Quote Count]]&gt;1,INTERCEPT(LOG(INDIRECT("RawMaterials[@[Lab Unit P 1]:[Lab Unit P "&amp;RawMaterials[[#This Row],[Lab Quote Count]]&amp;"]]")),LOG(INDIRECT("RawMaterials[@[Lab Q Model Units 1]:[Lab Q Model Units "&amp;RawMaterials[[#This Row],[Lab Quote Count]]&amp;"]]"))),"")</f>
        <v/>
      </c>
      <c r="AH229" s="368" t="str">
        <f>IF(RawMaterials[[#This Row],[Material Type]]="Metal Precursor","D13",IF(RawMaterials[[#This Row],[Material Type]]="Ligand","D13","D12"))</f>
        <v>D12</v>
      </c>
      <c r="AI229" s="369" t="str">
        <f ca="1">IF(RawMaterials[[#This Row],[Lab Quote Count]]&gt;1,10^RawMaterials[[#This Row],[Lab Log-Log Intercept]]*INDIRECT(RawMaterials[[#This Row],[Basis Cell]])^RawMaterials[[#This Row],[Lab Log-Log Slope]],"&gt;&gt;&gt; Enter 2 or more lab quotes &lt;&lt;&lt;")</f>
        <v>&gt;&gt;&gt; Enter 2 or more lab quotes &lt;&lt;&lt;</v>
      </c>
      <c r="AJ2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29" s="372">
        <f>IF(ISTEXT(RawMaterials[[#This Row],[Unit price in quote year]]),"Check calcs",RawMaterials[[#This Row],[Unit price in quote year]]/VLOOKUP(RawMaterials[[#This Row],[Quote Year]],ChemPPI[],14,FALSE)*VLOOKUP(BasisYear,ChemPPI[],14,FALSE))</f>
        <v>0.29049988612860284</v>
      </c>
      <c r="AM229" s="373" t="str">
        <f t="shared" si="3"/>
        <v>$/lb (2016)</v>
      </c>
    </row>
    <row r="230" spans="1:39">
      <c r="A230" s="263" t="s">
        <v>1334</v>
      </c>
      <c r="B230" s="264"/>
      <c r="C230" s="271"/>
      <c r="D230" s="365">
        <v>0.65500000000000003</v>
      </c>
      <c r="E230" s="264">
        <v>100</v>
      </c>
      <c r="F230" s="264"/>
      <c r="G230" s="271"/>
      <c r="H230" s="271"/>
      <c r="I230" s="268"/>
      <c r="J230" s="271"/>
      <c r="K230" s="271"/>
      <c r="L230" s="271"/>
      <c r="M230" s="271"/>
      <c r="N230" s="271"/>
      <c r="O230" s="271"/>
      <c r="P230" s="265">
        <v>1.17</v>
      </c>
      <c r="Q230" s="264">
        <v>1</v>
      </c>
      <c r="R230" s="264" t="s">
        <v>85</v>
      </c>
      <c r="S230" s="264">
        <v>2006</v>
      </c>
      <c r="T230" s="266" t="s">
        <v>163</v>
      </c>
      <c r="U230" s="267">
        <v>42653</v>
      </c>
      <c r="V230" s="269"/>
      <c r="W230" s="366">
        <f>COUNT(RawMaterials[[#This Row],[Lab Quantity 1]:[Lab Quantity 4]])</f>
        <v>0</v>
      </c>
      <c r="X2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0" s="367" t="e">
        <f>RawMaterials[[#This Row],[Lab Price 1]]/RawMaterials[[#This Row],[Lab Q Model Units 1]]</f>
        <v>#N/A</v>
      </c>
      <c r="AC230" s="367" t="e">
        <f>RawMaterials[[#This Row],[Lab Price 2]]/RawMaterials[[#This Row],[Lab Q Model Units 2]]</f>
        <v>#N/A</v>
      </c>
      <c r="AD230" s="367" t="e">
        <f>RawMaterials[[#This Row],[Lab Price 3]]/RawMaterials[[#This Row],[Lab Q Model Units 3]]</f>
        <v>#N/A</v>
      </c>
      <c r="AE230" s="367" t="e">
        <f>RawMaterials[[#This Row],[Lab Price 4]]/RawMaterials[[#This Row],[Lab Q Model Units 4]]</f>
        <v>#N/A</v>
      </c>
      <c r="AF230" s="367" t="str">
        <f ca="1">IF(RawMaterials[[#This Row],[Lab Quote Count]]&gt;1,SLOPE(LOG(INDIRECT("RawMaterials[@[Lab Unit P 1]:[Lab Unit P "&amp;RawMaterials[[#This Row],[Lab Quote Count]]&amp;"]]")),LOG(INDIRECT("RawMaterials[@[Lab Q Model Units 1]:[Lab Q Model Units "&amp;RawMaterials[[#This Row],[Lab Quote Count]]&amp;"]]"))),"")</f>
        <v/>
      </c>
      <c r="AG230" s="367" t="str">
        <f ca="1">IF(RawMaterials[[#This Row],[Lab Quote Count]]&gt;1,INTERCEPT(LOG(INDIRECT("RawMaterials[@[Lab Unit P 1]:[Lab Unit P "&amp;RawMaterials[[#This Row],[Lab Quote Count]]&amp;"]]")),LOG(INDIRECT("RawMaterials[@[Lab Q Model Units 1]:[Lab Q Model Units "&amp;RawMaterials[[#This Row],[Lab Quote Count]]&amp;"]]"))),"")</f>
        <v/>
      </c>
      <c r="AH230" s="368" t="str">
        <f>IF(RawMaterials[[#This Row],[Material Type]]="Metal Precursor","D13",IF(RawMaterials[[#This Row],[Material Type]]="Ligand","D13","D12"))</f>
        <v>D12</v>
      </c>
      <c r="AI230" s="369" t="str">
        <f ca="1">IF(RawMaterials[[#This Row],[Lab Quote Count]]&gt;1,10^RawMaterials[[#This Row],[Lab Log-Log Intercept]]*INDIRECT(RawMaterials[[#This Row],[Basis Cell]])^RawMaterials[[#This Row],[Lab Log-Log Slope]],"&gt;&gt;&gt; Enter 2 or more lab quotes &lt;&lt;&lt;")</f>
        <v>&gt;&gt;&gt; Enter 2 or more lab quotes &lt;&lt;&lt;</v>
      </c>
      <c r="AJ2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5.466239916072662</v>
      </c>
      <c r="AK2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0.21404109917674666</v>
      </c>
      <c r="AL230" s="372">
        <f>IF(ISTEXT(RawMaterials[[#This Row],[Unit price in quote year]]),"Check calcs",RawMaterials[[#This Row],[Unit price in quote year]]/VLOOKUP(RawMaterials[[#This Row],[Quote Year]],ChemPPI[],14,FALSE)*VLOOKUP(BasisYear,ChemPPI[],14,FALSE))</f>
        <v>0.29049988612860284</v>
      </c>
      <c r="AM230" s="373" t="str">
        <f t="shared" si="3"/>
        <v>$/lb (2016)</v>
      </c>
    </row>
    <row r="231" spans="1:39">
      <c r="A231" s="263" t="s">
        <v>1335</v>
      </c>
      <c r="B231" s="264"/>
      <c r="C231" s="271"/>
      <c r="D231" s="365"/>
      <c r="E231" s="264">
        <v>100</v>
      </c>
      <c r="F231" s="264"/>
      <c r="G231" s="271"/>
      <c r="H231" s="271"/>
      <c r="I231" s="268"/>
      <c r="J231" s="271"/>
      <c r="K231" s="271"/>
      <c r="L231" s="271"/>
      <c r="M231" s="271"/>
      <c r="N231" s="271"/>
      <c r="O231" s="271"/>
      <c r="P231" s="265">
        <v>85.43</v>
      </c>
      <c r="Q231" s="264">
        <v>1</v>
      </c>
      <c r="R231" s="264" t="s">
        <v>1123</v>
      </c>
      <c r="S231" s="264">
        <v>2007</v>
      </c>
      <c r="T231" s="266" t="s">
        <v>163</v>
      </c>
      <c r="U231" s="267">
        <v>42653</v>
      </c>
      <c r="V231" s="269"/>
      <c r="W231" s="366">
        <f>COUNT(RawMaterials[[#This Row],[Lab Quantity 1]:[Lab Quantity 4]])</f>
        <v>0</v>
      </c>
      <c r="X2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1" s="367" t="e">
        <f>RawMaterials[[#This Row],[Lab Price 1]]/RawMaterials[[#This Row],[Lab Q Model Units 1]]</f>
        <v>#N/A</v>
      </c>
      <c r="AC231" s="367" t="e">
        <f>RawMaterials[[#This Row],[Lab Price 2]]/RawMaterials[[#This Row],[Lab Q Model Units 2]]</f>
        <v>#N/A</v>
      </c>
      <c r="AD231" s="367" t="e">
        <f>RawMaterials[[#This Row],[Lab Price 3]]/RawMaterials[[#This Row],[Lab Q Model Units 3]]</f>
        <v>#N/A</v>
      </c>
      <c r="AE231" s="367" t="e">
        <f>RawMaterials[[#This Row],[Lab Price 4]]/RawMaterials[[#This Row],[Lab Q Model Units 4]]</f>
        <v>#N/A</v>
      </c>
      <c r="AF231" s="367" t="str">
        <f ca="1">IF(RawMaterials[[#This Row],[Lab Quote Count]]&gt;1,SLOPE(LOG(INDIRECT("RawMaterials[@[Lab Unit P 1]:[Lab Unit P "&amp;RawMaterials[[#This Row],[Lab Quote Count]]&amp;"]]")),LOG(INDIRECT("RawMaterials[@[Lab Q Model Units 1]:[Lab Q Model Units "&amp;RawMaterials[[#This Row],[Lab Quote Count]]&amp;"]]"))),"")</f>
        <v/>
      </c>
      <c r="AG231" s="367" t="str">
        <f ca="1">IF(RawMaterials[[#This Row],[Lab Quote Count]]&gt;1,INTERCEPT(LOG(INDIRECT("RawMaterials[@[Lab Unit P 1]:[Lab Unit P "&amp;RawMaterials[[#This Row],[Lab Quote Count]]&amp;"]]")),LOG(INDIRECT("RawMaterials[@[Lab Q Model Units 1]:[Lab Q Model Units "&amp;RawMaterials[[#This Row],[Lab Quote Count]]&amp;"]]"))),"")</f>
        <v/>
      </c>
      <c r="AH231" s="368" t="str">
        <f>IF(RawMaterials[[#This Row],[Material Type]]="Metal Precursor","D13",IF(RawMaterials[[#This Row],[Material Type]]="Ligand","D13","D12"))</f>
        <v>D12</v>
      </c>
      <c r="AI231" s="369" t="str">
        <f ca="1">IF(RawMaterials[[#This Row],[Lab Quote Count]]&gt;1,10^RawMaterials[[#This Row],[Lab Log-Log Intercept]]*INDIRECT(RawMaterials[[#This Row],[Basis Cell]])^RawMaterials[[#This Row],[Lab Log-Log Slope]],"&gt;&gt;&gt; Enter 2 or more lab quotes &lt;&lt;&lt;")</f>
        <v>&gt;&gt;&gt; Enter 2 or more lab quotes &lt;&lt;&lt;</v>
      </c>
      <c r="AJ2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3.8750396169100004E-2</v>
      </c>
      <c r="AL231" s="372">
        <f>IF(ISTEXT(RawMaterials[[#This Row],[Unit price in quote year]]),"Check calcs",RawMaterials[[#This Row],[Unit price in quote year]]/VLOOKUP(RawMaterials[[#This Row],[Quote Year]],ChemPPI[],14,FALSE)*VLOOKUP(BasisYear,ChemPPI[],14,FALSE))</f>
        <v>5.0900688414900759E-2</v>
      </c>
      <c r="AM231" s="373" t="str">
        <f t="shared" si="3"/>
        <v>$/lb (2016)</v>
      </c>
    </row>
    <row r="232" spans="1:39">
      <c r="A232" s="263" t="s">
        <v>1336</v>
      </c>
      <c r="B232" s="264"/>
      <c r="C232" s="271"/>
      <c r="D232" s="365"/>
      <c r="E232" s="264">
        <v>100</v>
      </c>
      <c r="F232" s="264"/>
      <c r="G232" s="271"/>
      <c r="H232" s="271"/>
      <c r="I232" s="268"/>
      <c r="J232" s="271"/>
      <c r="K232" s="271"/>
      <c r="L232" s="271"/>
      <c r="M232" s="271"/>
      <c r="N232" s="271"/>
      <c r="O232" s="271"/>
      <c r="P232" s="265">
        <v>93.7</v>
      </c>
      <c r="Q232" s="264">
        <v>1</v>
      </c>
      <c r="R232" s="264" t="s">
        <v>1123</v>
      </c>
      <c r="S232" s="264">
        <v>2007</v>
      </c>
      <c r="T232" s="266" t="s">
        <v>163</v>
      </c>
      <c r="U232" s="267">
        <v>42653</v>
      </c>
      <c r="V232" s="269"/>
      <c r="W232" s="366">
        <f>COUNT(RawMaterials[[#This Row],[Lab Quantity 1]:[Lab Quantity 4]])</f>
        <v>0</v>
      </c>
      <c r="X2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2" s="367" t="e">
        <f>RawMaterials[[#This Row],[Lab Price 1]]/RawMaterials[[#This Row],[Lab Q Model Units 1]]</f>
        <v>#N/A</v>
      </c>
      <c r="AC232" s="367" t="e">
        <f>RawMaterials[[#This Row],[Lab Price 2]]/RawMaterials[[#This Row],[Lab Q Model Units 2]]</f>
        <v>#N/A</v>
      </c>
      <c r="AD232" s="367" t="e">
        <f>RawMaterials[[#This Row],[Lab Price 3]]/RawMaterials[[#This Row],[Lab Q Model Units 3]]</f>
        <v>#N/A</v>
      </c>
      <c r="AE232" s="367" t="e">
        <f>RawMaterials[[#This Row],[Lab Price 4]]/RawMaterials[[#This Row],[Lab Q Model Units 4]]</f>
        <v>#N/A</v>
      </c>
      <c r="AF232" s="367" t="str">
        <f ca="1">IF(RawMaterials[[#This Row],[Lab Quote Count]]&gt;1,SLOPE(LOG(INDIRECT("RawMaterials[@[Lab Unit P 1]:[Lab Unit P "&amp;RawMaterials[[#This Row],[Lab Quote Count]]&amp;"]]")),LOG(INDIRECT("RawMaterials[@[Lab Q Model Units 1]:[Lab Q Model Units "&amp;RawMaterials[[#This Row],[Lab Quote Count]]&amp;"]]"))),"")</f>
        <v/>
      </c>
      <c r="AG232" s="367" t="str">
        <f ca="1">IF(RawMaterials[[#This Row],[Lab Quote Count]]&gt;1,INTERCEPT(LOG(INDIRECT("RawMaterials[@[Lab Unit P 1]:[Lab Unit P "&amp;RawMaterials[[#This Row],[Lab Quote Count]]&amp;"]]")),LOG(INDIRECT("RawMaterials[@[Lab Q Model Units 1]:[Lab Q Model Units "&amp;RawMaterials[[#This Row],[Lab Quote Count]]&amp;"]]"))),"")</f>
        <v/>
      </c>
      <c r="AH232" s="368" t="str">
        <f>IF(RawMaterials[[#This Row],[Material Type]]="Metal Precursor","D13",IF(RawMaterials[[#This Row],[Material Type]]="Ligand","D13","D12"))</f>
        <v>D12</v>
      </c>
      <c r="AI232" s="369" t="str">
        <f ca="1">IF(RawMaterials[[#This Row],[Lab Quote Count]]&gt;1,10^RawMaterials[[#This Row],[Lab Log-Log Intercept]]*INDIRECT(RawMaterials[[#This Row],[Basis Cell]])^RawMaterials[[#This Row],[Lab Log-Log Slope]],"&gt;&gt;&gt; Enter 2 or more lab quotes &lt;&lt;&lt;")</f>
        <v>&gt;&gt;&gt; Enter 2 or more lab quotes &lt;&lt;&lt;</v>
      </c>
      <c r="AJ2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2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4.2501605068999998E-2</v>
      </c>
      <c r="AL232" s="372">
        <f>IF(ISTEXT(RawMaterials[[#This Row],[Unit price in quote year]]),"Check calcs",RawMaterials[[#This Row],[Unit price in quote year]]/VLOOKUP(RawMaterials[[#This Row],[Quote Year]],ChemPPI[],14,FALSE)*VLOOKUP(BasisYear,ChemPPI[],14,FALSE))</f>
        <v>5.5828099080840458E-2</v>
      </c>
      <c r="AM232" s="373" t="str">
        <f t="shared" si="3"/>
        <v>$/lb (2016)</v>
      </c>
    </row>
    <row r="233" spans="1:39">
      <c r="A233" s="263" t="s">
        <v>1337</v>
      </c>
      <c r="B233" s="264"/>
      <c r="C233" s="271"/>
      <c r="D233" s="365"/>
      <c r="E233" s="264">
        <v>100</v>
      </c>
      <c r="F233" s="264"/>
      <c r="G233" s="271"/>
      <c r="H233" s="271"/>
      <c r="I233" s="268"/>
      <c r="J233" s="271"/>
      <c r="K233" s="271"/>
      <c r="L233" s="271"/>
      <c r="M233" s="271"/>
      <c r="N233" s="271"/>
      <c r="O233" s="271"/>
      <c r="P233" s="265">
        <v>0.25750000000000001</v>
      </c>
      <c r="Q233" s="264">
        <v>1</v>
      </c>
      <c r="R233" s="264" t="s">
        <v>20</v>
      </c>
      <c r="S233" s="264">
        <v>2006</v>
      </c>
      <c r="T233" s="266" t="s">
        <v>163</v>
      </c>
      <c r="U233" s="267">
        <v>42653</v>
      </c>
      <c r="V233" s="269"/>
      <c r="W233" s="366">
        <f>COUNT(RawMaterials[[#This Row],[Lab Quantity 1]:[Lab Quantity 4]])</f>
        <v>0</v>
      </c>
      <c r="X2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3" s="367" t="e">
        <f>RawMaterials[[#This Row],[Lab Price 1]]/RawMaterials[[#This Row],[Lab Q Model Units 1]]</f>
        <v>#N/A</v>
      </c>
      <c r="AC233" s="367" t="e">
        <f>RawMaterials[[#This Row],[Lab Price 2]]/RawMaterials[[#This Row],[Lab Q Model Units 2]]</f>
        <v>#N/A</v>
      </c>
      <c r="AD233" s="367" t="e">
        <f>RawMaterials[[#This Row],[Lab Price 3]]/RawMaterials[[#This Row],[Lab Q Model Units 3]]</f>
        <v>#N/A</v>
      </c>
      <c r="AE233" s="367" t="e">
        <f>RawMaterials[[#This Row],[Lab Price 4]]/RawMaterials[[#This Row],[Lab Q Model Units 4]]</f>
        <v>#N/A</v>
      </c>
      <c r="AF233" s="367" t="str">
        <f ca="1">IF(RawMaterials[[#This Row],[Lab Quote Count]]&gt;1,SLOPE(LOG(INDIRECT("RawMaterials[@[Lab Unit P 1]:[Lab Unit P "&amp;RawMaterials[[#This Row],[Lab Quote Count]]&amp;"]]")),LOG(INDIRECT("RawMaterials[@[Lab Q Model Units 1]:[Lab Q Model Units "&amp;RawMaterials[[#This Row],[Lab Quote Count]]&amp;"]]"))),"")</f>
        <v/>
      </c>
      <c r="AG233" s="367" t="str">
        <f ca="1">IF(RawMaterials[[#This Row],[Lab Quote Count]]&gt;1,INTERCEPT(LOG(INDIRECT("RawMaterials[@[Lab Unit P 1]:[Lab Unit P "&amp;RawMaterials[[#This Row],[Lab Quote Count]]&amp;"]]")),LOG(INDIRECT("RawMaterials[@[Lab Q Model Units 1]:[Lab Q Model Units "&amp;RawMaterials[[#This Row],[Lab Quote Count]]&amp;"]]"))),"")</f>
        <v/>
      </c>
      <c r="AH233" s="368" t="str">
        <f>IF(RawMaterials[[#This Row],[Material Type]]="Metal Precursor","D13",IF(RawMaterials[[#This Row],[Material Type]]="Ligand","D13","D12"))</f>
        <v>D12</v>
      </c>
      <c r="AI233" s="369" t="str">
        <f ca="1">IF(RawMaterials[[#This Row],[Lab Quote Count]]&gt;1,10^RawMaterials[[#This Row],[Lab Log-Log Intercept]]*INDIRECT(RawMaterials[[#This Row],[Basis Cell]])^RawMaterials[[#This Row],[Lab Log-Log Slope]],"&gt;&gt;&gt; Enter 2 or more lab quotes &lt;&lt;&lt;")</f>
        <v>&gt;&gt;&gt; Enter 2 or more lab quotes &lt;&lt;&lt;</v>
      </c>
      <c r="AJ2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0.25750000000000001</v>
      </c>
      <c r="AL233" s="372">
        <f>IF(ISTEXT(RawMaterials[[#This Row],[Unit price in quote year]]),"Check calcs",RawMaterials[[#This Row],[Unit price in quote year]]/VLOOKUP(RawMaterials[[#This Row],[Quote Year]],ChemPPI[],14,FALSE)*VLOOKUP(BasisYear,ChemPPI[],14,FALSE))</f>
        <v>0.34948297764227654</v>
      </c>
      <c r="AM233" s="373" t="str">
        <f t="shared" si="3"/>
        <v>$/lb (2016)</v>
      </c>
    </row>
    <row r="234" spans="1:39">
      <c r="A234" s="263" t="s">
        <v>1338</v>
      </c>
      <c r="B234" s="264"/>
      <c r="C234" s="271"/>
      <c r="D234" s="365"/>
      <c r="E234" s="264">
        <v>100</v>
      </c>
      <c r="F234" s="264"/>
      <c r="G234" s="271"/>
      <c r="H234" s="271"/>
      <c r="I234" s="268"/>
      <c r="J234" s="271"/>
      <c r="K234" s="271"/>
      <c r="L234" s="271"/>
      <c r="M234" s="271"/>
      <c r="N234" s="271"/>
      <c r="O234" s="271"/>
      <c r="P234" s="265">
        <v>0.53</v>
      </c>
      <c r="Q234" s="264">
        <v>1</v>
      </c>
      <c r="R234" s="264" t="s">
        <v>20</v>
      </c>
      <c r="S234" s="264">
        <v>2006</v>
      </c>
      <c r="T234" s="266" t="s">
        <v>163</v>
      </c>
      <c r="U234" s="267">
        <v>42653</v>
      </c>
      <c r="V234" s="269"/>
      <c r="W234" s="366">
        <f>COUNT(RawMaterials[[#This Row],[Lab Quantity 1]:[Lab Quantity 4]])</f>
        <v>0</v>
      </c>
      <c r="X2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4" s="367" t="e">
        <f>RawMaterials[[#This Row],[Lab Price 1]]/RawMaterials[[#This Row],[Lab Q Model Units 1]]</f>
        <v>#N/A</v>
      </c>
      <c r="AC234" s="367" t="e">
        <f>RawMaterials[[#This Row],[Lab Price 2]]/RawMaterials[[#This Row],[Lab Q Model Units 2]]</f>
        <v>#N/A</v>
      </c>
      <c r="AD234" s="367" t="e">
        <f>RawMaterials[[#This Row],[Lab Price 3]]/RawMaterials[[#This Row],[Lab Q Model Units 3]]</f>
        <v>#N/A</v>
      </c>
      <c r="AE234" s="367" t="e">
        <f>RawMaterials[[#This Row],[Lab Price 4]]/RawMaterials[[#This Row],[Lab Q Model Units 4]]</f>
        <v>#N/A</v>
      </c>
      <c r="AF234" s="367" t="str">
        <f ca="1">IF(RawMaterials[[#This Row],[Lab Quote Count]]&gt;1,SLOPE(LOG(INDIRECT("RawMaterials[@[Lab Unit P 1]:[Lab Unit P "&amp;RawMaterials[[#This Row],[Lab Quote Count]]&amp;"]]")),LOG(INDIRECT("RawMaterials[@[Lab Q Model Units 1]:[Lab Q Model Units "&amp;RawMaterials[[#This Row],[Lab Quote Count]]&amp;"]]"))),"")</f>
        <v/>
      </c>
      <c r="AG234" s="367" t="str">
        <f ca="1">IF(RawMaterials[[#This Row],[Lab Quote Count]]&gt;1,INTERCEPT(LOG(INDIRECT("RawMaterials[@[Lab Unit P 1]:[Lab Unit P "&amp;RawMaterials[[#This Row],[Lab Quote Count]]&amp;"]]")),LOG(INDIRECT("RawMaterials[@[Lab Q Model Units 1]:[Lab Q Model Units "&amp;RawMaterials[[#This Row],[Lab Quote Count]]&amp;"]]"))),"")</f>
        <v/>
      </c>
      <c r="AH234" s="368" t="str">
        <f>IF(RawMaterials[[#This Row],[Material Type]]="Metal Precursor","D13",IF(RawMaterials[[#This Row],[Material Type]]="Ligand","D13","D12"))</f>
        <v>D12</v>
      </c>
      <c r="AI234" s="369" t="str">
        <f ca="1">IF(RawMaterials[[#This Row],[Lab Quote Count]]&gt;1,10^RawMaterials[[#This Row],[Lab Log-Log Intercept]]*INDIRECT(RawMaterials[[#This Row],[Basis Cell]])^RawMaterials[[#This Row],[Lab Log-Log Slope]],"&gt;&gt;&gt; Enter 2 or more lab quotes &lt;&lt;&lt;")</f>
        <v>&gt;&gt;&gt; Enter 2 or more lab quotes &lt;&lt;&lt;</v>
      </c>
      <c r="AJ2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v>
      </c>
      <c r="AL234" s="372">
        <f>IF(ISTEXT(RawMaterials[[#This Row],[Unit price in quote year]]),"Check calcs",RawMaterials[[#This Row],[Unit price in quote year]]/VLOOKUP(RawMaterials[[#This Row],[Quote Year]],ChemPPI[],14,FALSE)*VLOOKUP(BasisYear,ChemPPI[],14,FALSE))</f>
        <v>0.71932418699187006</v>
      </c>
      <c r="AM234" s="373" t="str">
        <f t="shared" si="3"/>
        <v>$/lb (2016)</v>
      </c>
    </row>
    <row r="235" spans="1:39">
      <c r="A235" s="263" t="s">
        <v>1339</v>
      </c>
      <c r="B235" s="264"/>
      <c r="C235" s="271"/>
      <c r="D235" s="365"/>
      <c r="E235" s="264">
        <v>100</v>
      </c>
      <c r="F235" s="264"/>
      <c r="G235" s="271"/>
      <c r="H235" s="271"/>
      <c r="I235" s="268"/>
      <c r="J235" s="271"/>
      <c r="K235" s="271"/>
      <c r="L235" s="271"/>
      <c r="M235" s="271"/>
      <c r="N235" s="271"/>
      <c r="O235" s="271"/>
      <c r="P235" s="265">
        <v>0.495</v>
      </c>
      <c r="Q235" s="264">
        <v>1</v>
      </c>
      <c r="R235" s="264" t="s">
        <v>20</v>
      </c>
      <c r="S235" s="264">
        <v>2006</v>
      </c>
      <c r="T235" s="266" t="s">
        <v>163</v>
      </c>
      <c r="U235" s="267">
        <v>42653</v>
      </c>
      <c r="V235" s="269"/>
      <c r="W235" s="366">
        <f>COUNT(RawMaterials[[#This Row],[Lab Quantity 1]:[Lab Quantity 4]])</f>
        <v>0</v>
      </c>
      <c r="X2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5" s="367" t="e">
        <f>RawMaterials[[#This Row],[Lab Price 1]]/RawMaterials[[#This Row],[Lab Q Model Units 1]]</f>
        <v>#N/A</v>
      </c>
      <c r="AC235" s="367" t="e">
        <f>RawMaterials[[#This Row],[Lab Price 2]]/RawMaterials[[#This Row],[Lab Q Model Units 2]]</f>
        <v>#N/A</v>
      </c>
      <c r="AD235" s="367" t="e">
        <f>RawMaterials[[#This Row],[Lab Price 3]]/RawMaterials[[#This Row],[Lab Q Model Units 3]]</f>
        <v>#N/A</v>
      </c>
      <c r="AE235" s="367" t="e">
        <f>RawMaterials[[#This Row],[Lab Price 4]]/RawMaterials[[#This Row],[Lab Q Model Units 4]]</f>
        <v>#N/A</v>
      </c>
      <c r="AF235" s="367" t="str">
        <f ca="1">IF(RawMaterials[[#This Row],[Lab Quote Count]]&gt;1,SLOPE(LOG(INDIRECT("RawMaterials[@[Lab Unit P 1]:[Lab Unit P "&amp;RawMaterials[[#This Row],[Lab Quote Count]]&amp;"]]")),LOG(INDIRECT("RawMaterials[@[Lab Q Model Units 1]:[Lab Q Model Units "&amp;RawMaterials[[#This Row],[Lab Quote Count]]&amp;"]]"))),"")</f>
        <v/>
      </c>
      <c r="AG235" s="367" t="str">
        <f ca="1">IF(RawMaterials[[#This Row],[Lab Quote Count]]&gt;1,INTERCEPT(LOG(INDIRECT("RawMaterials[@[Lab Unit P 1]:[Lab Unit P "&amp;RawMaterials[[#This Row],[Lab Quote Count]]&amp;"]]")),LOG(INDIRECT("RawMaterials[@[Lab Q Model Units 1]:[Lab Q Model Units "&amp;RawMaterials[[#This Row],[Lab Quote Count]]&amp;"]]"))),"")</f>
        <v/>
      </c>
      <c r="AH235" s="368" t="str">
        <f>IF(RawMaterials[[#This Row],[Material Type]]="Metal Precursor","D13",IF(RawMaterials[[#This Row],[Material Type]]="Ligand","D13","D12"))</f>
        <v>D12</v>
      </c>
      <c r="AI235" s="369" t="str">
        <f ca="1">IF(RawMaterials[[#This Row],[Lab Quote Count]]&gt;1,10^RawMaterials[[#This Row],[Lab Log-Log Intercept]]*INDIRECT(RawMaterials[[#This Row],[Basis Cell]])^RawMaterials[[#This Row],[Lab Log-Log Slope]],"&gt;&gt;&gt; Enter 2 or more lab quotes &lt;&lt;&lt;")</f>
        <v>&gt;&gt;&gt; Enter 2 or more lab quotes &lt;&lt;&lt;</v>
      </c>
      <c r="AJ2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0.495</v>
      </c>
      <c r="AL235" s="372">
        <f>IF(ISTEXT(RawMaterials[[#This Row],[Unit price in quote year]]),"Check calcs",RawMaterials[[#This Row],[Unit price in quote year]]/VLOOKUP(RawMaterials[[#This Row],[Quote Year]],ChemPPI[],14,FALSE)*VLOOKUP(BasisYear,ChemPPI[],14,FALSE))</f>
        <v>0.67182164634146346</v>
      </c>
      <c r="AM235" s="373" t="str">
        <f t="shared" si="3"/>
        <v>$/lb (2016)</v>
      </c>
    </row>
    <row r="236" spans="1:39">
      <c r="A236" s="263" t="s">
        <v>1340</v>
      </c>
      <c r="B236" s="264"/>
      <c r="C236" s="271"/>
      <c r="D236" s="365"/>
      <c r="E236" s="264">
        <v>100</v>
      </c>
      <c r="F236" s="264"/>
      <c r="G236" s="271"/>
      <c r="H236" s="271"/>
      <c r="I236" s="268"/>
      <c r="J236" s="271"/>
      <c r="K236" s="271"/>
      <c r="L236" s="271"/>
      <c r="M236" s="271"/>
      <c r="N236" s="271"/>
      <c r="O236" s="271"/>
      <c r="P236" s="265">
        <v>0.35625000000000001</v>
      </c>
      <c r="Q236" s="264">
        <v>1</v>
      </c>
      <c r="R236" s="264" t="s">
        <v>20</v>
      </c>
      <c r="S236" s="264">
        <v>2006</v>
      </c>
      <c r="T236" s="266" t="s">
        <v>163</v>
      </c>
      <c r="U236" s="267">
        <v>42653</v>
      </c>
      <c r="V236" s="269"/>
      <c r="W236" s="366">
        <f>COUNT(RawMaterials[[#This Row],[Lab Quantity 1]:[Lab Quantity 4]])</f>
        <v>0</v>
      </c>
      <c r="X2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6" s="367" t="e">
        <f>RawMaterials[[#This Row],[Lab Price 1]]/RawMaterials[[#This Row],[Lab Q Model Units 1]]</f>
        <v>#N/A</v>
      </c>
      <c r="AC236" s="367" t="e">
        <f>RawMaterials[[#This Row],[Lab Price 2]]/RawMaterials[[#This Row],[Lab Q Model Units 2]]</f>
        <v>#N/A</v>
      </c>
      <c r="AD236" s="367" t="e">
        <f>RawMaterials[[#This Row],[Lab Price 3]]/RawMaterials[[#This Row],[Lab Q Model Units 3]]</f>
        <v>#N/A</v>
      </c>
      <c r="AE236" s="367" t="e">
        <f>RawMaterials[[#This Row],[Lab Price 4]]/RawMaterials[[#This Row],[Lab Q Model Units 4]]</f>
        <v>#N/A</v>
      </c>
      <c r="AF236" s="367" t="str">
        <f ca="1">IF(RawMaterials[[#This Row],[Lab Quote Count]]&gt;1,SLOPE(LOG(INDIRECT("RawMaterials[@[Lab Unit P 1]:[Lab Unit P "&amp;RawMaterials[[#This Row],[Lab Quote Count]]&amp;"]]")),LOG(INDIRECT("RawMaterials[@[Lab Q Model Units 1]:[Lab Q Model Units "&amp;RawMaterials[[#This Row],[Lab Quote Count]]&amp;"]]"))),"")</f>
        <v/>
      </c>
      <c r="AG236" s="367" t="str">
        <f ca="1">IF(RawMaterials[[#This Row],[Lab Quote Count]]&gt;1,INTERCEPT(LOG(INDIRECT("RawMaterials[@[Lab Unit P 1]:[Lab Unit P "&amp;RawMaterials[[#This Row],[Lab Quote Count]]&amp;"]]")),LOG(INDIRECT("RawMaterials[@[Lab Q Model Units 1]:[Lab Q Model Units "&amp;RawMaterials[[#This Row],[Lab Quote Count]]&amp;"]]"))),"")</f>
        <v/>
      </c>
      <c r="AH236" s="368" t="str">
        <f>IF(RawMaterials[[#This Row],[Material Type]]="Metal Precursor","D13",IF(RawMaterials[[#This Row],[Material Type]]="Ligand","D13","D12"))</f>
        <v>D12</v>
      </c>
      <c r="AI236" s="369" t="str">
        <f ca="1">IF(RawMaterials[[#This Row],[Lab Quote Count]]&gt;1,10^RawMaterials[[#This Row],[Lab Log-Log Intercept]]*INDIRECT(RawMaterials[[#This Row],[Basis Cell]])^RawMaterials[[#This Row],[Lab Log-Log Slope]],"&gt;&gt;&gt; Enter 2 or more lab quotes &lt;&lt;&lt;")</f>
        <v>&gt;&gt;&gt; Enter 2 or more lab quotes &lt;&lt;&lt;</v>
      </c>
      <c r="AJ2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0.35625000000000001</v>
      </c>
      <c r="AL236" s="372">
        <f>IF(ISTEXT(RawMaterials[[#This Row],[Unit price in quote year]]),"Check calcs",RawMaterials[[#This Row],[Unit price in quote year]]/VLOOKUP(RawMaterials[[#This Row],[Quote Year]],ChemPPI[],14,FALSE)*VLOOKUP(BasisYear,ChemPPI[],14,FALSE))</f>
        <v>0.48350800304878061</v>
      </c>
      <c r="AM236" s="373" t="str">
        <f t="shared" si="3"/>
        <v>$/lb (2016)</v>
      </c>
    </row>
    <row r="237" spans="1:39">
      <c r="A237" s="263" t="s">
        <v>1341</v>
      </c>
      <c r="B237" s="264"/>
      <c r="C237" s="271"/>
      <c r="D237" s="365"/>
      <c r="E237" s="264">
        <v>100</v>
      </c>
      <c r="F237" s="264"/>
      <c r="G237" s="271"/>
      <c r="H237" s="271"/>
      <c r="I237" s="268"/>
      <c r="J237" s="271"/>
      <c r="K237" s="271"/>
      <c r="L237" s="271"/>
      <c r="M237" s="271"/>
      <c r="N237" s="271"/>
      <c r="O237" s="271"/>
      <c r="P237" s="265">
        <v>0.47749999999999998</v>
      </c>
      <c r="Q237" s="264">
        <v>1</v>
      </c>
      <c r="R237" s="264" t="s">
        <v>20</v>
      </c>
      <c r="S237" s="264">
        <v>2006</v>
      </c>
      <c r="T237" s="266" t="s">
        <v>163</v>
      </c>
      <c r="U237" s="267">
        <v>42653</v>
      </c>
      <c r="V237" s="269"/>
      <c r="W237" s="366">
        <f>COUNT(RawMaterials[[#This Row],[Lab Quantity 1]:[Lab Quantity 4]])</f>
        <v>0</v>
      </c>
      <c r="X2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7" s="367" t="e">
        <f>RawMaterials[[#This Row],[Lab Price 1]]/RawMaterials[[#This Row],[Lab Q Model Units 1]]</f>
        <v>#N/A</v>
      </c>
      <c r="AC237" s="367" t="e">
        <f>RawMaterials[[#This Row],[Lab Price 2]]/RawMaterials[[#This Row],[Lab Q Model Units 2]]</f>
        <v>#N/A</v>
      </c>
      <c r="AD237" s="367" t="e">
        <f>RawMaterials[[#This Row],[Lab Price 3]]/RawMaterials[[#This Row],[Lab Q Model Units 3]]</f>
        <v>#N/A</v>
      </c>
      <c r="AE237" s="367" t="e">
        <f>RawMaterials[[#This Row],[Lab Price 4]]/RawMaterials[[#This Row],[Lab Q Model Units 4]]</f>
        <v>#N/A</v>
      </c>
      <c r="AF237" s="367" t="str">
        <f ca="1">IF(RawMaterials[[#This Row],[Lab Quote Count]]&gt;1,SLOPE(LOG(INDIRECT("RawMaterials[@[Lab Unit P 1]:[Lab Unit P "&amp;RawMaterials[[#This Row],[Lab Quote Count]]&amp;"]]")),LOG(INDIRECT("RawMaterials[@[Lab Q Model Units 1]:[Lab Q Model Units "&amp;RawMaterials[[#This Row],[Lab Quote Count]]&amp;"]]"))),"")</f>
        <v/>
      </c>
      <c r="AG237" s="367" t="str">
        <f ca="1">IF(RawMaterials[[#This Row],[Lab Quote Count]]&gt;1,INTERCEPT(LOG(INDIRECT("RawMaterials[@[Lab Unit P 1]:[Lab Unit P "&amp;RawMaterials[[#This Row],[Lab Quote Count]]&amp;"]]")),LOG(INDIRECT("RawMaterials[@[Lab Q Model Units 1]:[Lab Q Model Units "&amp;RawMaterials[[#This Row],[Lab Quote Count]]&amp;"]]"))),"")</f>
        <v/>
      </c>
      <c r="AH237" s="368" t="str">
        <f>IF(RawMaterials[[#This Row],[Material Type]]="Metal Precursor","D13",IF(RawMaterials[[#This Row],[Material Type]]="Ligand","D13","D12"))</f>
        <v>D12</v>
      </c>
      <c r="AI237" s="369" t="str">
        <f ca="1">IF(RawMaterials[[#This Row],[Lab Quote Count]]&gt;1,10^RawMaterials[[#This Row],[Lab Log-Log Intercept]]*INDIRECT(RawMaterials[[#This Row],[Basis Cell]])^RawMaterials[[#This Row],[Lab Log-Log Slope]],"&gt;&gt;&gt; Enter 2 or more lab quotes &lt;&lt;&lt;")</f>
        <v>&gt;&gt;&gt; Enter 2 or more lab quotes &lt;&lt;&lt;</v>
      </c>
      <c r="AJ2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237" s="372">
        <f>IF(ISTEXT(RawMaterials[[#This Row],[Unit price in quote year]]),"Check calcs",RawMaterials[[#This Row],[Unit price in quote year]]/VLOOKUP(RawMaterials[[#This Row],[Quote Year]],ChemPPI[],14,FALSE)*VLOOKUP(BasisYear,ChemPPI[],14,FALSE))</f>
        <v>0.64807037601626027</v>
      </c>
      <c r="AM237" s="373" t="str">
        <f t="shared" si="3"/>
        <v>$/lb (2016)</v>
      </c>
    </row>
    <row r="238" spans="1:39">
      <c r="A238" s="263" t="s">
        <v>1342</v>
      </c>
      <c r="B238" s="264"/>
      <c r="C238" s="271"/>
      <c r="D238" s="365"/>
      <c r="E238" s="264">
        <v>100</v>
      </c>
      <c r="F238" s="264"/>
      <c r="G238" s="271"/>
      <c r="H238" s="271"/>
      <c r="I238" s="268"/>
      <c r="J238" s="271"/>
      <c r="K238" s="271"/>
      <c r="L238" s="271"/>
      <c r="M238" s="271"/>
      <c r="N238" s="271"/>
      <c r="O238" s="271"/>
      <c r="P238" s="265">
        <v>23</v>
      </c>
      <c r="Q238" s="264">
        <v>1</v>
      </c>
      <c r="R238" s="264" t="s">
        <v>71</v>
      </c>
      <c r="S238" s="264">
        <v>2006</v>
      </c>
      <c r="T238" s="266" t="s">
        <v>163</v>
      </c>
      <c r="U238" s="267">
        <v>42653</v>
      </c>
      <c r="V238" s="269"/>
      <c r="W238" s="366">
        <f>COUNT(RawMaterials[[#This Row],[Lab Quantity 1]:[Lab Quantity 4]])</f>
        <v>0</v>
      </c>
      <c r="X2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8" s="367" t="e">
        <f>RawMaterials[[#This Row],[Lab Price 1]]/RawMaterials[[#This Row],[Lab Q Model Units 1]]</f>
        <v>#N/A</v>
      </c>
      <c r="AC238" s="367" t="e">
        <f>RawMaterials[[#This Row],[Lab Price 2]]/RawMaterials[[#This Row],[Lab Q Model Units 2]]</f>
        <v>#N/A</v>
      </c>
      <c r="AD238" s="367" t="e">
        <f>RawMaterials[[#This Row],[Lab Price 3]]/RawMaterials[[#This Row],[Lab Q Model Units 3]]</f>
        <v>#N/A</v>
      </c>
      <c r="AE238" s="367" t="e">
        <f>RawMaterials[[#This Row],[Lab Price 4]]/RawMaterials[[#This Row],[Lab Q Model Units 4]]</f>
        <v>#N/A</v>
      </c>
      <c r="AF238" s="367" t="str">
        <f ca="1">IF(RawMaterials[[#This Row],[Lab Quote Count]]&gt;1,SLOPE(LOG(INDIRECT("RawMaterials[@[Lab Unit P 1]:[Lab Unit P "&amp;RawMaterials[[#This Row],[Lab Quote Count]]&amp;"]]")),LOG(INDIRECT("RawMaterials[@[Lab Q Model Units 1]:[Lab Q Model Units "&amp;RawMaterials[[#This Row],[Lab Quote Count]]&amp;"]]"))),"")</f>
        <v/>
      </c>
      <c r="AG238" s="367" t="str">
        <f ca="1">IF(RawMaterials[[#This Row],[Lab Quote Count]]&gt;1,INTERCEPT(LOG(INDIRECT("RawMaterials[@[Lab Unit P 1]:[Lab Unit P "&amp;RawMaterials[[#This Row],[Lab Quote Count]]&amp;"]]")),LOG(INDIRECT("RawMaterials[@[Lab Q Model Units 1]:[Lab Q Model Units "&amp;RawMaterials[[#This Row],[Lab Quote Count]]&amp;"]]"))),"")</f>
        <v/>
      </c>
      <c r="AH238" s="368" t="str">
        <f>IF(RawMaterials[[#This Row],[Material Type]]="Metal Precursor","D13",IF(RawMaterials[[#This Row],[Material Type]]="Ligand","D13","D12"))</f>
        <v>D12</v>
      </c>
      <c r="AI238" s="369" t="str">
        <f ca="1">IF(RawMaterials[[#This Row],[Lab Quote Count]]&gt;1,10^RawMaterials[[#This Row],[Lab Log-Log Intercept]]*INDIRECT(RawMaterials[[#This Row],[Basis Cell]])^RawMaterials[[#This Row],[Lab Log-Log Slope]],"&gt;&gt;&gt; Enter 2 or more lab quotes &lt;&lt;&lt;")</f>
        <v>&gt;&gt;&gt; Enter 2 or more lab quotes &lt;&lt;&lt;</v>
      </c>
      <c r="AJ2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38" s="372">
        <f>IF(ISTEXT(RawMaterials[[#This Row],[Unit price in quote year]]),"Check calcs",RawMaterials[[#This Row],[Unit price in quote year]]/VLOOKUP(RawMaterials[[#This Row],[Quote Year]],ChemPPI[],14,FALSE)*VLOOKUP(BasisYear,ChemPPI[],14,FALSE))</f>
        <v>14.159319139334352</v>
      </c>
      <c r="AM238" s="373" t="str">
        <f t="shared" si="3"/>
        <v>$/lb (2016)</v>
      </c>
    </row>
    <row r="239" spans="1:39">
      <c r="A239" s="263" t="s">
        <v>1343</v>
      </c>
      <c r="B239" s="264"/>
      <c r="C239" s="271"/>
      <c r="D239" s="365"/>
      <c r="E239" s="264">
        <v>100</v>
      </c>
      <c r="F239" s="264"/>
      <c r="G239" s="271"/>
      <c r="H239" s="271"/>
      <c r="I239" s="268"/>
      <c r="J239" s="271"/>
      <c r="K239" s="271"/>
      <c r="L239" s="271"/>
      <c r="M239" s="271"/>
      <c r="N239" s="271"/>
      <c r="O239" s="271"/>
      <c r="P239" s="265">
        <v>24</v>
      </c>
      <c r="Q239" s="264">
        <v>1</v>
      </c>
      <c r="R239" s="264" t="s">
        <v>71</v>
      </c>
      <c r="S239" s="264">
        <v>2006</v>
      </c>
      <c r="T239" s="266" t="s">
        <v>163</v>
      </c>
      <c r="U239" s="267">
        <v>42653</v>
      </c>
      <c r="V239" s="269"/>
      <c r="W239" s="366">
        <f>COUNT(RawMaterials[[#This Row],[Lab Quantity 1]:[Lab Quantity 4]])</f>
        <v>0</v>
      </c>
      <c r="X2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39" s="367" t="e">
        <f>RawMaterials[[#This Row],[Lab Price 1]]/RawMaterials[[#This Row],[Lab Q Model Units 1]]</f>
        <v>#N/A</v>
      </c>
      <c r="AC239" s="367" t="e">
        <f>RawMaterials[[#This Row],[Lab Price 2]]/RawMaterials[[#This Row],[Lab Q Model Units 2]]</f>
        <v>#N/A</v>
      </c>
      <c r="AD239" s="367" t="e">
        <f>RawMaterials[[#This Row],[Lab Price 3]]/RawMaterials[[#This Row],[Lab Q Model Units 3]]</f>
        <v>#N/A</v>
      </c>
      <c r="AE239" s="367" t="e">
        <f>RawMaterials[[#This Row],[Lab Price 4]]/RawMaterials[[#This Row],[Lab Q Model Units 4]]</f>
        <v>#N/A</v>
      </c>
      <c r="AF239" s="367" t="str">
        <f ca="1">IF(RawMaterials[[#This Row],[Lab Quote Count]]&gt;1,SLOPE(LOG(INDIRECT("RawMaterials[@[Lab Unit P 1]:[Lab Unit P "&amp;RawMaterials[[#This Row],[Lab Quote Count]]&amp;"]]")),LOG(INDIRECT("RawMaterials[@[Lab Q Model Units 1]:[Lab Q Model Units "&amp;RawMaterials[[#This Row],[Lab Quote Count]]&amp;"]]"))),"")</f>
        <v/>
      </c>
      <c r="AG239" s="367" t="str">
        <f ca="1">IF(RawMaterials[[#This Row],[Lab Quote Count]]&gt;1,INTERCEPT(LOG(INDIRECT("RawMaterials[@[Lab Unit P 1]:[Lab Unit P "&amp;RawMaterials[[#This Row],[Lab Quote Count]]&amp;"]]")),LOG(INDIRECT("RawMaterials[@[Lab Q Model Units 1]:[Lab Q Model Units "&amp;RawMaterials[[#This Row],[Lab Quote Count]]&amp;"]]"))),"")</f>
        <v/>
      </c>
      <c r="AH239" s="368" t="str">
        <f>IF(RawMaterials[[#This Row],[Material Type]]="Metal Precursor","D13",IF(RawMaterials[[#This Row],[Material Type]]="Ligand","D13","D12"))</f>
        <v>D12</v>
      </c>
      <c r="AI239" s="369" t="str">
        <f ca="1">IF(RawMaterials[[#This Row],[Lab Quote Count]]&gt;1,10^RawMaterials[[#This Row],[Lab Log-Log Intercept]]*INDIRECT(RawMaterials[[#This Row],[Basis Cell]])^RawMaterials[[#This Row],[Lab Log-Log Slope]],"&gt;&gt;&gt; Enter 2 or more lab quotes &lt;&lt;&lt;")</f>
        <v>&gt;&gt;&gt; Enter 2 or more lab quotes &lt;&lt;&lt;</v>
      </c>
      <c r="AJ2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10.886216880000001</v>
      </c>
      <c r="AL239" s="372">
        <f>IF(ISTEXT(RawMaterials[[#This Row],[Unit price in quote year]]),"Check calcs",RawMaterials[[#This Row],[Unit price in quote year]]/VLOOKUP(RawMaterials[[#This Row],[Quote Year]],ChemPPI[],14,FALSE)*VLOOKUP(BasisYear,ChemPPI[],14,FALSE))</f>
        <v>14.77494171060976</v>
      </c>
      <c r="AM239" s="373" t="str">
        <f t="shared" si="3"/>
        <v>$/lb (2016)</v>
      </c>
    </row>
    <row r="240" spans="1:39">
      <c r="A240" s="377" t="s">
        <v>187</v>
      </c>
      <c r="B240" s="379"/>
      <c r="C240" s="383"/>
      <c r="D240" s="378"/>
      <c r="E240" s="379">
        <v>100</v>
      </c>
      <c r="F240" s="379"/>
      <c r="G240" s="383"/>
      <c r="H240" s="383"/>
      <c r="I240" s="380"/>
      <c r="J240" s="383"/>
      <c r="K240" s="383"/>
      <c r="L240" s="383"/>
      <c r="M240" s="383"/>
      <c r="N240" s="383"/>
      <c r="O240" s="383"/>
      <c r="P240" s="381">
        <v>1440</v>
      </c>
      <c r="Q240" s="264">
        <v>1</v>
      </c>
      <c r="R240" s="379" t="s">
        <v>62</v>
      </c>
      <c r="S240" s="379">
        <v>2018</v>
      </c>
      <c r="T240" s="366" t="s">
        <v>1105</v>
      </c>
      <c r="U240" s="382">
        <v>43339</v>
      </c>
      <c r="V240" s="269" t="s">
        <v>1716</v>
      </c>
      <c r="W240" s="366">
        <f>COUNT(RawMaterials[[#This Row],[Lab Quantity 1]:[Lab Quantity 4]])</f>
        <v>0</v>
      </c>
      <c r="X2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0" s="367" t="e">
        <f>RawMaterials[[#This Row],[Lab Price 1]]/RawMaterials[[#This Row],[Lab Q Model Units 1]]</f>
        <v>#N/A</v>
      </c>
      <c r="AC240" s="367" t="e">
        <f>RawMaterials[[#This Row],[Lab Price 2]]/RawMaterials[[#This Row],[Lab Q Model Units 2]]</f>
        <v>#N/A</v>
      </c>
      <c r="AD240" s="367" t="e">
        <f>RawMaterials[[#This Row],[Lab Price 3]]/RawMaterials[[#This Row],[Lab Q Model Units 3]]</f>
        <v>#N/A</v>
      </c>
      <c r="AE240" s="367" t="e">
        <f>RawMaterials[[#This Row],[Lab Price 4]]/RawMaterials[[#This Row],[Lab Q Model Units 4]]</f>
        <v>#N/A</v>
      </c>
      <c r="AF240" s="367" t="str">
        <f ca="1">IF(RawMaterials[[#This Row],[Lab Quote Count]]&gt;1,SLOPE(LOG(INDIRECT("RawMaterials[@[Lab Unit P 1]:[Lab Unit P "&amp;RawMaterials[[#This Row],[Lab Quote Count]]&amp;"]]")),LOG(INDIRECT("RawMaterials[@[Lab Q Model Units 1]:[Lab Q Model Units "&amp;RawMaterials[[#This Row],[Lab Quote Count]]&amp;"]]"))),"")</f>
        <v/>
      </c>
      <c r="AG240" s="367" t="str">
        <f ca="1">IF(RawMaterials[[#This Row],[Lab Quote Count]]&gt;1,INTERCEPT(LOG(INDIRECT("RawMaterials[@[Lab Unit P 1]:[Lab Unit P "&amp;RawMaterials[[#This Row],[Lab Quote Count]]&amp;"]]")),LOG(INDIRECT("RawMaterials[@[Lab Q Model Units 1]:[Lab Q Model Units "&amp;RawMaterials[[#This Row],[Lab Quote Count]]&amp;"]]"))),"")</f>
        <v/>
      </c>
      <c r="AH240" s="368" t="str">
        <f>IF(RawMaterials[[#This Row],[Material Type]]="Metal Precursor","D13",IF(RawMaterials[[#This Row],[Material Type]]="Ligand","D13","D12"))</f>
        <v>D12</v>
      </c>
      <c r="AI240" s="369" t="str">
        <f ca="1">IF(RawMaterials[[#This Row],[Lab Quote Count]]&gt;1,10^RawMaterials[[#This Row],[Lab Log-Log Intercept]]*INDIRECT(RawMaterials[[#This Row],[Basis Cell]])^RawMaterials[[#This Row],[Lab Log-Log Slope]],"&gt;&gt;&gt; Enter 2 or more lab quotes &lt;&lt;&lt;")</f>
        <v>&gt;&gt;&gt; Enter 2 or more lab quotes &lt;&lt;&lt;</v>
      </c>
      <c r="AJ2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2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21000.000000000004</v>
      </c>
      <c r="AL240" s="372">
        <f>IF(ISTEXT(RawMaterials[[#This Row],[Unit price in quote year]]),"Check calcs",RawMaterials[[#This Row],[Unit price in quote year]]/VLOOKUP(RawMaterials[[#This Row],[Quote Year]],ChemPPI[],14,FALSE)*VLOOKUP(BasisYear,ChemPPI[],14,FALSE))</f>
        <v>19511.270349241691</v>
      </c>
      <c r="AM240" s="373" t="str">
        <f t="shared" si="3"/>
        <v>$/lb (2016)</v>
      </c>
    </row>
    <row r="241" spans="1:39">
      <c r="A241" s="377" t="s">
        <v>176</v>
      </c>
      <c r="B241" s="379"/>
      <c r="C241" s="383"/>
      <c r="D241" s="378"/>
      <c r="E241" s="379">
        <v>100</v>
      </c>
      <c r="F241" s="379"/>
      <c r="G241" s="383"/>
      <c r="H241" s="383"/>
      <c r="I241" s="380"/>
      <c r="J241" s="383"/>
      <c r="K241" s="383"/>
      <c r="L241" s="383"/>
      <c r="M241" s="383"/>
      <c r="N241" s="383"/>
      <c r="O241" s="383"/>
      <c r="P241" s="381">
        <v>95</v>
      </c>
      <c r="Q241" s="264">
        <v>1</v>
      </c>
      <c r="R241" s="264" t="s">
        <v>406</v>
      </c>
      <c r="S241" s="379">
        <v>2018</v>
      </c>
      <c r="T241" s="266" t="s">
        <v>1718</v>
      </c>
      <c r="U241" s="382">
        <v>43367</v>
      </c>
      <c r="V241" s="269" t="s">
        <v>1716</v>
      </c>
      <c r="W241" s="366">
        <f>COUNT(RawMaterials[[#This Row],[Lab Quantity 1]:[Lab Quantity 4]])</f>
        <v>0</v>
      </c>
      <c r="X2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1" s="367" t="e">
        <f>RawMaterials[[#This Row],[Lab Price 1]]/RawMaterials[[#This Row],[Lab Q Model Units 1]]</f>
        <v>#N/A</v>
      </c>
      <c r="AC241" s="367" t="e">
        <f>RawMaterials[[#This Row],[Lab Price 2]]/RawMaterials[[#This Row],[Lab Q Model Units 2]]</f>
        <v>#N/A</v>
      </c>
      <c r="AD241" s="367" t="e">
        <f>RawMaterials[[#This Row],[Lab Price 3]]/RawMaterials[[#This Row],[Lab Q Model Units 3]]</f>
        <v>#N/A</v>
      </c>
      <c r="AE241" s="367" t="e">
        <f>RawMaterials[[#This Row],[Lab Price 4]]/RawMaterials[[#This Row],[Lab Q Model Units 4]]</f>
        <v>#N/A</v>
      </c>
      <c r="AF241" s="367" t="str">
        <f ca="1">IF(RawMaterials[[#This Row],[Lab Quote Count]]&gt;1,SLOPE(LOG(INDIRECT("RawMaterials[@[Lab Unit P 1]:[Lab Unit P "&amp;RawMaterials[[#This Row],[Lab Quote Count]]&amp;"]]")),LOG(INDIRECT("RawMaterials[@[Lab Q Model Units 1]:[Lab Q Model Units "&amp;RawMaterials[[#This Row],[Lab Quote Count]]&amp;"]]"))),"")</f>
        <v/>
      </c>
      <c r="AG241" s="367" t="str">
        <f ca="1">IF(RawMaterials[[#This Row],[Lab Quote Count]]&gt;1,INTERCEPT(LOG(INDIRECT("RawMaterials[@[Lab Unit P 1]:[Lab Unit P "&amp;RawMaterials[[#This Row],[Lab Quote Count]]&amp;"]]")),LOG(INDIRECT("RawMaterials[@[Lab Q Model Units 1]:[Lab Q Model Units "&amp;RawMaterials[[#This Row],[Lab Quote Count]]&amp;"]]"))),"")</f>
        <v/>
      </c>
      <c r="AH241" s="368" t="str">
        <f>IF(RawMaterials[[#This Row],[Material Type]]="Metal Precursor","D13",IF(RawMaterials[[#This Row],[Material Type]]="Ligand","D13","D12"))</f>
        <v>D12</v>
      </c>
      <c r="AI241" s="369" t="str">
        <f ca="1">IF(RawMaterials[[#This Row],[Lab Quote Count]]&gt;1,10^RawMaterials[[#This Row],[Lab Log-Log Intercept]]*INDIRECT(RawMaterials[[#This Row],[Basis Cell]])^RawMaterials[[#This Row],[Lab Log-Log Slope]],"&gt;&gt;&gt; Enter 2 or more lab quotes &lt;&lt;&lt;")</f>
        <v>&gt;&gt;&gt; Enter 2 or more lab quotes &lt;&lt;&lt;</v>
      </c>
      <c r="AJ2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4.7500000000000001E-2</v>
      </c>
      <c r="AL241" s="372">
        <f>IF(ISTEXT(RawMaterials[[#This Row],[Unit price in quote year]]),"Check calcs",RawMaterials[[#This Row],[Unit price in quote year]]/VLOOKUP(RawMaterials[[#This Row],[Quote Year]],ChemPPI[],14,FALSE)*VLOOKUP(BasisYear,ChemPPI[],14,FALSE))</f>
        <v>4.4132635313760958E-2</v>
      </c>
      <c r="AM241" s="373" t="str">
        <f t="shared" si="3"/>
        <v>$/lb (2016)</v>
      </c>
    </row>
    <row r="242" spans="1:39">
      <c r="A242" s="263" t="s">
        <v>1344</v>
      </c>
      <c r="B242" s="264"/>
      <c r="C242" s="271"/>
      <c r="D242" s="365"/>
      <c r="E242" s="264">
        <v>100</v>
      </c>
      <c r="F242" s="264"/>
      <c r="G242" s="271"/>
      <c r="H242" s="271"/>
      <c r="I242" s="268"/>
      <c r="J242" s="271"/>
      <c r="K242" s="271"/>
      <c r="L242" s="271"/>
      <c r="M242" s="271"/>
      <c r="N242" s="271"/>
      <c r="O242" s="271"/>
      <c r="P242" s="265">
        <v>0.94</v>
      </c>
      <c r="Q242" s="264">
        <v>1</v>
      </c>
      <c r="R242" s="264" t="s">
        <v>20</v>
      </c>
      <c r="S242" s="264">
        <v>2006</v>
      </c>
      <c r="T242" s="266" t="s">
        <v>163</v>
      </c>
      <c r="U242" s="267">
        <v>42653</v>
      </c>
      <c r="V242" s="269"/>
      <c r="W242" s="366">
        <f>COUNT(RawMaterials[[#This Row],[Lab Quantity 1]:[Lab Quantity 4]])</f>
        <v>0</v>
      </c>
      <c r="X2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2" s="367" t="e">
        <f>RawMaterials[[#This Row],[Lab Price 1]]/RawMaterials[[#This Row],[Lab Q Model Units 1]]</f>
        <v>#N/A</v>
      </c>
      <c r="AC242" s="367" t="e">
        <f>RawMaterials[[#This Row],[Lab Price 2]]/RawMaterials[[#This Row],[Lab Q Model Units 2]]</f>
        <v>#N/A</v>
      </c>
      <c r="AD242" s="367" t="e">
        <f>RawMaterials[[#This Row],[Lab Price 3]]/RawMaterials[[#This Row],[Lab Q Model Units 3]]</f>
        <v>#N/A</v>
      </c>
      <c r="AE242" s="367" t="e">
        <f>RawMaterials[[#This Row],[Lab Price 4]]/RawMaterials[[#This Row],[Lab Q Model Units 4]]</f>
        <v>#N/A</v>
      </c>
      <c r="AF242" s="367" t="str">
        <f ca="1">IF(RawMaterials[[#This Row],[Lab Quote Count]]&gt;1,SLOPE(LOG(INDIRECT("RawMaterials[@[Lab Unit P 1]:[Lab Unit P "&amp;RawMaterials[[#This Row],[Lab Quote Count]]&amp;"]]")),LOG(INDIRECT("RawMaterials[@[Lab Q Model Units 1]:[Lab Q Model Units "&amp;RawMaterials[[#This Row],[Lab Quote Count]]&amp;"]]"))),"")</f>
        <v/>
      </c>
      <c r="AG242" s="367" t="str">
        <f ca="1">IF(RawMaterials[[#This Row],[Lab Quote Count]]&gt;1,INTERCEPT(LOG(INDIRECT("RawMaterials[@[Lab Unit P 1]:[Lab Unit P "&amp;RawMaterials[[#This Row],[Lab Quote Count]]&amp;"]]")),LOG(INDIRECT("RawMaterials[@[Lab Q Model Units 1]:[Lab Q Model Units "&amp;RawMaterials[[#This Row],[Lab Quote Count]]&amp;"]]"))),"")</f>
        <v/>
      </c>
      <c r="AH242" s="368" t="str">
        <f>IF(RawMaterials[[#This Row],[Material Type]]="Metal Precursor","D13",IF(RawMaterials[[#This Row],[Material Type]]="Ligand","D13","D12"))</f>
        <v>D12</v>
      </c>
      <c r="AI242" s="369" t="str">
        <f ca="1">IF(RawMaterials[[#This Row],[Lab Quote Count]]&gt;1,10^RawMaterials[[#This Row],[Lab Log-Log Intercept]]*INDIRECT(RawMaterials[[#This Row],[Basis Cell]])^RawMaterials[[#This Row],[Lab Log-Log Slope]],"&gt;&gt;&gt; Enter 2 or more lab quotes &lt;&lt;&lt;")</f>
        <v>&gt;&gt;&gt; Enter 2 or more lab quotes &lt;&lt;&lt;</v>
      </c>
      <c r="AJ2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0.94</v>
      </c>
      <c r="AL242" s="372">
        <f>IF(ISTEXT(RawMaterials[[#This Row],[Unit price in quote year]]),"Check calcs",RawMaterials[[#This Row],[Unit price in quote year]]/VLOOKUP(RawMaterials[[#This Row],[Quote Year]],ChemPPI[],14,FALSE)*VLOOKUP(BasisYear,ChemPPI[],14,FALSE))</f>
        <v>1.2757825203252036</v>
      </c>
      <c r="AM242" s="373" t="str">
        <f t="shared" si="3"/>
        <v>$/lb (2016)</v>
      </c>
    </row>
    <row r="243" spans="1:39">
      <c r="A243" s="263" t="s">
        <v>1345</v>
      </c>
      <c r="B243" s="264"/>
      <c r="C243" s="271"/>
      <c r="D243" s="365"/>
      <c r="E243" s="264">
        <v>100</v>
      </c>
      <c r="F243" s="264"/>
      <c r="G243" s="271"/>
      <c r="H243" s="271"/>
      <c r="I243" s="268"/>
      <c r="J243" s="271"/>
      <c r="K243" s="271"/>
      <c r="L243" s="271"/>
      <c r="M243" s="271"/>
      <c r="N243" s="271"/>
      <c r="O243" s="271"/>
      <c r="P243" s="265">
        <v>0.63</v>
      </c>
      <c r="Q243" s="264">
        <v>1</v>
      </c>
      <c r="R243" s="264" t="s">
        <v>20</v>
      </c>
      <c r="S243" s="264">
        <v>2006</v>
      </c>
      <c r="T243" s="266" t="s">
        <v>163</v>
      </c>
      <c r="U243" s="267">
        <v>42653</v>
      </c>
      <c r="V243" s="269"/>
      <c r="W243" s="366">
        <f>COUNT(RawMaterials[[#This Row],[Lab Quantity 1]:[Lab Quantity 4]])</f>
        <v>0</v>
      </c>
      <c r="X2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3" s="367" t="e">
        <f>RawMaterials[[#This Row],[Lab Price 1]]/RawMaterials[[#This Row],[Lab Q Model Units 1]]</f>
        <v>#N/A</v>
      </c>
      <c r="AC243" s="367" t="e">
        <f>RawMaterials[[#This Row],[Lab Price 2]]/RawMaterials[[#This Row],[Lab Q Model Units 2]]</f>
        <v>#N/A</v>
      </c>
      <c r="AD243" s="367" t="e">
        <f>RawMaterials[[#This Row],[Lab Price 3]]/RawMaterials[[#This Row],[Lab Q Model Units 3]]</f>
        <v>#N/A</v>
      </c>
      <c r="AE243" s="367" t="e">
        <f>RawMaterials[[#This Row],[Lab Price 4]]/RawMaterials[[#This Row],[Lab Q Model Units 4]]</f>
        <v>#N/A</v>
      </c>
      <c r="AF243" s="367" t="str">
        <f ca="1">IF(RawMaterials[[#This Row],[Lab Quote Count]]&gt;1,SLOPE(LOG(INDIRECT("RawMaterials[@[Lab Unit P 1]:[Lab Unit P "&amp;RawMaterials[[#This Row],[Lab Quote Count]]&amp;"]]")),LOG(INDIRECT("RawMaterials[@[Lab Q Model Units 1]:[Lab Q Model Units "&amp;RawMaterials[[#This Row],[Lab Quote Count]]&amp;"]]"))),"")</f>
        <v/>
      </c>
      <c r="AG243" s="367" t="str">
        <f ca="1">IF(RawMaterials[[#This Row],[Lab Quote Count]]&gt;1,INTERCEPT(LOG(INDIRECT("RawMaterials[@[Lab Unit P 1]:[Lab Unit P "&amp;RawMaterials[[#This Row],[Lab Quote Count]]&amp;"]]")),LOG(INDIRECT("RawMaterials[@[Lab Q Model Units 1]:[Lab Q Model Units "&amp;RawMaterials[[#This Row],[Lab Quote Count]]&amp;"]]"))),"")</f>
        <v/>
      </c>
      <c r="AH243" s="368" t="str">
        <f>IF(RawMaterials[[#This Row],[Material Type]]="Metal Precursor","D13",IF(RawMaterials[[#This Row],[Material Type]]="Ligand","D13","D12"))</f>
        <v>D12</v>
      </c>
      <c r="AI243" s="369" t="str">
        <f ca="1">IF(RawMaterials[[#This Row],[Lab Quote Count]]&gt;1,10^RawMaterials[[#This Row],[Lab Log-Log Intercept]]*INDIRECT(RawMaterials[[#This Row],[Basis Cell]])^RawMaterials[[#This Row],[Lab Log-Log Slope]],"&gt;&gt;&gt; Enter 2 or more lab quotes &lt;&lt;&lt;")</f>
        <v>&gt;&gt;&gt; Enter 2 or more lab quotes &lt;&lt;&lt;</v>
      </c>
      <c r="AJ2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243" s="372">
        <f>IF(ISTEXT(RawMaterials[[#This Row],[Unit price in quote year]]),"Check calcs",RawMaterials[[#This Row],[Unit price in quote year]]/VLOOKUP(RawMaterials[[#This Row],[Quote Year]],ChemPPI[],14,FALSE)*VLOOKUP(BasisYear,ChemPPI[],14,FALSE))</f>
        <v>0.85504573170731724</v>
      </c>
      <c r="AM243" s="373" t="str">
        <f t="shared" si="3"/>
        <v>$/lb (2016)</v>
      </c>
    </row>
    <row r="244" spans="1:39">
      <c r="A244" s="263" t="s">
        <v>1346</v>
      </c>
      <c r="B244" s="264"/>
      <c r="C244" s="271"/>
      <c r="D244" s="365"/>
      <c r="E244" s="264">
        <v>100</v>
      </c>
      <c r="F244" s="264"/>
      <c r="G244" s="271"/>
      <c r="H244" s="271"/>
      <c r="I244" s="268"/>
      <c r="J244" s="271"/>
      <c r="K244" s="271"/>
      <c r="L244" s="271"/>
      <c r="M244" s="271"/>
      <c r="N244" s="271"/>
      <c r="O244" s="271"/>
      <c r="P244" s="265">
        <v>0.96</v>
      </c>
      <c r="Q244" s="264">
        <v>1</v>
      </c>
      <c r="R244" s="264" t="s">
        <v>20</v>
      </c>
      <c r="S244" s="264">
        <v>2006</v>
      </c>
      <c r="T244" s="266" t="s">
        <v>163</v>
      </c>
      <c r="U244" s="267">
        <v>42653</v>
      </c>
      <c r="V244" s="269"/>
      <c r="W244" s="366">
        <f>COUNT(RawMaterials[[#This Row],[Lab Quantity 1]:[Lab Quantity 4]])</f>
        <v>0</v>
      </c>
      <c r="X2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4" s="367" t="e">
        <f>RawMaterials[[#This Row],[Lab Price 1]]/RawMaterials[[#This Row],[Lab Q Model Units 1]]</f>
        <v>#N/A</v>
      </c>
      <c r="AC244" s="367" t="e">
        <f>RawMaterials[[#This Row],[Lab Price 2]]/RawMaterials[[#This Row],[Lab Q Model Units 2]]</f>
        <v>#N/A</v>
      </c>
      <c r="AD244" s="367" t="e">
        <f>RawMaterials[[#This Row],[Lab Price 3]]/RawMaterials[[#This Row],[Lab Q Model Units 3]]</f>
        <v>#N/A</v>
      </c>
      <c r="AE244" s="367" t="e">
        <f>RawMaterials[[#This Row],[Lab Price 4]]/RawMaterials[[#This Row],[Lab Q Model Units 4]]</f>
        <v>#N/A</v>
      </c>
      <c r="AF244" s="367" t="str">
        <f ca="1">IF(RawMaterials[[#This Row],[Lab Quote Count]]&gt;1,SLOPE(LOG(INDIRECT("RawMaterials[@[Lab Unit P 1]:[Lab Unit P "&amp;RawMaterials[[#This Row],[Lab Quote Count]]&amp;"]]")),LOG(INDIRECT("RawMaterials[@[Lab Q Model Units 1]:[Lab Q Model Units "&amp;RawMaterials[[#This Row],[Lab Quote Count]]&amp;"]]"))),"")</f>
        <v/>
      </c>
      <c r="AG244" s="367" t="str">
        <f ca="1">IF(RawMaterials[[#This Row],[Lab Quote Count]]&gt;1,INTERCEPT(LOG(INDIRECT("RawMaterials[@[Lab Unit P 1]:[Lab Unit P "&amp;RawMaterials[[#This Row],[Lab Quote Count]]&amp;"]]")),LOG(INDIRECT("RawMaterials[@[Lab Q Model Units 1]:[Lab Q Model Units "&amp;RawMaterials[[#This Row],[Lab Quote Count]]&amp;"]]"))),"")</f>
        <v/>
      </c>
      <c r="AH244" s="368" t="str">
        <f>IF(RawMaterials[[#This Row],[Material Type]]="Metal Precursor","D13",IF(RawMaterials[[#This Row],[Material Type]]="Ligand","D13","D12"))</f>
        <v>D12</v>
      </c>
      <c r="AI244" s="369" t="str">
        <f ca="1">IF(RawMaterials[[#This Row],[Lab Quote Count]]&gt;1,10^RawMaterials[[#This Row],[Lab Log-Log Intercept]]*INDIRECT(RawMaterials[[#This Row],[Basis Cell]])^RawMaterials[[#This Row],[Lab Log-Log Slope]],"&gt;&gt;&gt; Enter 2 or more lab quotes &lt;&lt;&lt;")</f>
        <v>&gt;&gt;&gt; Enter 2 or more lab quotes &lt;&lt;&lt;</v>
      </c>
      <c r="AJ2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0.96</v>
      </c>
      <c r="AL244" s="372">
        <f>IF(ISTEXT(RawMaterials[[#This Row],[Unit price in quote year]]),"Check calcs",RawMaterials[[#This Row],[Unit price in quote year]]/VLOOKUP(RawMaterials[[#This Row],[Quote Year]],ChemPPI[],14,FALSE)*VLOOKUP(BasisYear,ChemPPI[],14,FALSE))</f>
        <v>1.3029268292682927</v>
      </c>
      <c r="AM244" s="373" t="str">
        <f t="shared" si="3"/>
        <v>$/lb (2016)</v>
      </c>
    </row>
    <row r="245" spans="1:39">
      <c r="A245" s="263" t="s">
        <v>1347</v>
      </c>
      <c r="B245" s="264"/>
      <c r="C245" s="271"/>
      <c r="D245" s="365"/>
      <c r="E245" s="264">
        <v>100</v>
      </c>
      <c r="F245" s="264"/>
      <c r="G245" s="271"/>
      <c r="H245" s="271"/>
      <c r="I245" s="268"/>
      <c r="J245" s="271"/>
      <c r="K245" s="271"/>
      <c r="L245" s="271"/>
      <c r="M245" s="271"/>
      <c r="N245" s="271"/>
      <c r="O245" s="271"/>
      <c r="P245" s="265">
        <v>0.55249999999999999</v>
      </c>
      <c r="Q245" s="264">
        <v>1</v>
      </c>
      <c r="R245" s="264" t="s">
        <v>20</v>
      </c>
      <c r="S245" s="264">
        <v>2006</v>
      </c>
      <c r="T245" s="266" t="s">
        <v>163</v>
      </c>
      <c r="U245" s="267">
        <v>42653</v>
      </c>
      <c r="V245" s="269"/>
      <c r="W245" s="366">
        <f>COUNT(RawMaterials[[#This Row],[Lab Quantity 1]:[Lab Quantity 4]])</f>
        <v>0</v>
      </c>
      <c r="X2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5" s="367" t="e">
        <f>RawMaterials[[#This Row],[Lab Price 1]]/RawMaterials[[#This Row],[Lab Q Model Units 1]]</f>
        <v>#N/A</v>
      </c>
      <c r="AC245" s="367" t="e">
        <f>RawMaterials[[#This Row],[Lab Price 2]]/RawMaterials[[#This Row],[Lab Q Model Units 2]]</f>
        <v>#N/A</v>
      </c>
      <c r="AD245" s="367" t="e">
        <f>RawMaterials[[#This Row],[Lab Price 3]]/RawMaterials[[#This Row],[Lab Q Model Units 3]]</f>
        <v>#N/A</v>
      </c>
      <c r="AE245" s="367" t="e">
        <f>RawMaterials[[#This Row],[Lab Price 4]]/RawMaterials[[#This Row],[Lab Q Model Units 4]]</f>
        <v>#N/A</v>
      </c>
      <c r="AF245" s="367" t="str">
        <f ca="1">IF(RawMaterials[[#This Row],[Lab Quote Count]]&gt;1,SLOPE(LOG(INDIRECT("RawMaterials[@[Lab Unit P 1]:[Lab Unit P "&amp;RawMaterials[[#This Row],[Lab Quote Count]]&amp;"]]")),LOG(INDIRECT("RawMaterials[@[Lab Q Model Units 1]:[Lab Q Model Units "&amp;RawMaterials[[#This Row],[Lab Quote Count]]&amp;"]]"))),"")</f>
        <v/>
      </c>
      <c r="AG245" s="367" t="str">
        <f ca="1">IF(RawMaterials[[#This Row],[Lab Quote Count]]&gt;1,INTERCEPT(LOG(INDIRECT("RawMaterials[@[Lab Unit P 1]:[Lab Unit P "&amp;RawMaterials[[#This Row],[Lab Quote Count]]&amp;"]]")),LOG(INDIRECT("RawMaterials[@[Lab Q Model Units 1]:[Lab Q Model Units "&amp;RawMaterials[[#This Row],[Lab Quote Count]]&amp;"]]"))),"")</f>
        <v/>
      </c>
      <c r="AH245" s="368" t="str">
        <f>IF(RawMaterials[[#This Row],[Material Type]]="Metal Precursor","D13",IF(RawMaterials[[#This Row],[Material Type]]="Ligand","D13","D12"))</f>
        <v>D12</v>
      </c>
      <c r="AI245" s="369" t="str">
        <f ca="1">IF(RawMaterials[[#This Row],[Lab Quote Count]]&gt;1,10^RawMaterials[[#This Row],[Lab Log-Log Intercept]]*INDIRECT(RawMaterials[[#This Row],[Basis Cell]])^RawMaterials[[#This Row],[Lab Log-Log Slope]],"&gt;&gt;&gt; Enter 2 or more lab quotes &lt;&lt;&lt;")</f>
        <v>&gt;&gt;&gt; Enter 2 or more lab quotes &lt;&lt;&lt;</v>
      </c>
      <c r="AJ2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0.55249999999999999</v>
      </c>
      <c r="AL245" s="372">
        <f>IF(ISTEXT(RawMaterials[[#This Row],[Unit price in quote year]]),"Check calcs",RawMaterials[[#This Row],[Unit price in quote year]]/VLOOKUP(RawMaterials[[#This Row],[Quote Year]],ChemPPI[],14,FALSE)*VLOOKUP(BasisYear,ChemPPI[],14,FALSE))</f>
        <v>0.74986153455284565</v>
      </c>
      <c r="AM245" s="373" t="str">
        <f t="shared" si="3"/>
        <v>$/lb (2016)</v>
      </c>
    </row>
    <row r="246" spans="1:39">
      <c r="A246" s="263" t="s">
        <v>1348</v>
      </c>
      <c r="B246" s="264"/>
      <c r="C246" s="271"/>
      <c r="D246" s="365"/>
      <c r="E246" s="264">
        <v>100</v>
      </c>
      <c r="F246" s="264"/>
      <c r="G246" s="271"/>
      <c r="H246" s="271"/>
      <c r="I246" s="268"/>
      <c r="J246" s="271"/>
      <c r="K246" s="271"/>
      <c r="L246" s="271"/>
      <c r="M246" s="271"/>
      <c r="N246" s="271"/>
      <c r="O246" s="271"/>
      <c r="P246" s="265">
        <v>1.04</v>
      </c>
      <c r="Q246" s="264">
        <v>1</v>
      </c>
      <c r="R246" s="264" t="s">
        <v>20</v>
      </c>
      <c r="S246" s="264">
        <v>2006</v>
      </c>
      <c r="T246" s="266" t="s">
        <v>163</v>
      </c>
      <c r="U246" s="267">
        <v>42653</v>
      </c>
      <c r="V246" s="269"/>
      <c r="W246" s="366">
        <f>COUNT(RawMaterials[[#This Row],[Lab Quantity 1]:[Lab Quantity 4]])</f>
        <v>0</v>
      </c>
      <c r="X2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6" s="367" t="e">
        <f>RawMaterials[[#This Row],[Lab Price 1]]/RawMaterials[[#This Row],[Lab Q Model Units 1]]</f>
        <v>#N/A</v>
      </c>
      <c r="AC246" s="367" t="e">
        <f>RawMaterials[[#This Row],[Lab Price 2]]/RawMaterials[[#This Row],[Lab Q Model Units 2]]</f>
        <v>#N/A</v>
      </c>
      <c r="AD246" s="367" t="e">
        <f>RawMaterials[[#This Row],[Lab Price 3]]/RawMaterials[[#This Row],[Lab Q Model Units 3]]</f>
        <v>#N/A</v>
      </c>
      <c r="AE246" s="367" t="e">
        <f>RawMaterials[[#This Row],[Lab Price 4]]/RawMaterials[[#This Row],[Lab Q Model Units 4]]</f>
        <v>#N/A</v>
      </c>
      <c r="AF246" s="367" t="str">
        <f ca="1">IF(RawMaterials[[#This Row],[Lab Quote Count]]&gt;1,SLOPE(LOG(INDIRECT("RawMaterials[@[Lab Unit P 1]:[Lab Unit P "&amp;RawMaterials[[#This Row],[Lab Quote Count]]&amp;"]]")),LOG(INDIRECT("RawMaterials[@[Lab Q Model Units 1]:[Lab Q Model Units "&amp;RawMaterials[[#This Row],[Lab Quote Count]]&amp;"]]"))),"")</f>
        <v/>
      </c>
      <c r="AG246" s="367" t="str">
        <f ca="1">IF(RawMaterials[[#This Row],[Lab Quote Count]]&gt;1,INTERCEPT(LOG(INDIRECT("RawMaterials[@[Lab Unit P 1]:[Lab Unit P "&amp;RawMaterials[[#This Row],[Lab Quote Count]]&amp;"]]")),LOG(INDIRECT("RawMaterials[@[Lab Q Model Units 1]:[Lab Q Model Units "&amp;RawMaterials[[#This Row],[Lab Quote Count]]&amp;"]]"))),"")</f>
        <v/>
      </c>
      <c r="AH246" s="368" t="str">
        <f>IF(RawMaterials[[#This Row],[Material Type]]="Metal Precursor","D13",IF(RawMaterials[[#This Row],[Material Type]]="Ligand","D13","D12"))</f>
        <v>D12</v>
      </c>
      <c r="AI246" s="369" t="str">
        <f ca="1">IF(RawMaterials[[#This Row],[Lab Quote Count]]&gt;1,10^RawMaterials[[#This Row],[Lab Log-Log Intercept]]*INDIRECT(RawMaterials[[#This Row],[Basis Cell]])^RawMaterials[[#This Row],[Lab Log-Log Slope]],"&gt;&gt;&gt; Enter 2 or more lab quotes &lt;&lt;&lt;")</f>
        <v>&gt;&gt;&gt; Enter 2 or more lab quotes &lt;&lt;&lt;</v>
      </c>
      <c r="AJ2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v>
      </c>
      <c r="AL246" s="372">
        <f>IF(ISTEXT(RawMaterials[[#This Row],[Unit price in quote year]]),"Check calcs",RawMaterials[[#This Row],[Unit price in quote year]]/VLOOKUP(RawMaterials[[#This Row],[Quote Year]],ChemPPI[],14,FALSE)*VLOOKUP(BasisYear,ChemPPI[],14,FALSE))</f>
        <v>1.4115040650406507</v>
      </c>
      <c r="AM246" s="373" t="str">
        <f t="shared" si="3"/>
        <v>$/lb (2016)</v>
      </c>
    </row>
    <row r="247" spans="1:39">
      <c r="A247" s="263" t="s">
        <v>1349</v>
      </c>
      <c r="B247" s="264"/>
      <c r="C247" s="271"/>
      <c r="D247" s="365"/>
      <c r="E247" s="264">
        <v>100</v>
      </c>
      <c r="F247" s="264"/>
      <c r="G247" s="271"/>
      <c r="H247" s="271"/>
      <c r="I247" s="268"/>
      <c r="J247" s="271"/>
      <c r="K247" s="271"/>
      <c r="L247" s="271"/>
      <c r="M247" s="271"/>
      <c r="N247" s="271"/>
      <c r="O247" s="271"/>
      <c r="P247" s="265">
        <v>0.625</v>
      </c>
      <c r="Q247" s="264">
        <v>1</v>
      </c>
      <c r="R247" s="264" t="s">
        <v>20</v>
      </c>
      <c r="S247" s="264">
        <v>2006</v>
      </c>
      <c r="T247" s="266" t="s">
        <v>163</v>
      </c>
      <c r="U247" s="267">
        <v>42653</v>
      </c>
      <c r="V247" s="269"/>
      <c r="W247" s="366">
        <f>COUNT(RawMaterials[[#This Row],[Lab Quantity 1]:[Lab Quantity 4]])</f>
        <v>0</v>
      </c>
      <c r="X2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7" s="367" t="e">
        <f>RawMaterials[[#This Row],[Lab Price 1]]/RawMaterials[[#This Row],[Lab Q Model Units 1]]</f>
        <v>#N/A</v>
      </c>
      <c r="AC247" s="367" t="e">
        <f>RawMaterials[[#This Row],[Lab Price 2]]/RawMaterials[[#This Row],[Lab Q Model Units 2]]</f>
        <v>#N/A</v>
      </c>
      <c r="AD247" s="367" t="e">
        <f>RawMaterials[[#This Row],[Lab Price 3]]/RawMaterials[[#This Row],[Lab Q Model Units 3]]</f>
        <v>#N/A</v>
      </c>
      <c r="AE247" s="367" t="e">
        <f>RawMaterials[[#This Row],[Lab Price 4]]/RawMaterials[[#This Row],[Lab Q Model Units 4]]</f>
        <v>#N/A</v>
      </c>
      <c r="AF247" s="367" t="str">
        <f ca="1">IF(RawMaterials[[#This Row],[Lab Quote Count]]&gt;1,SLOPE(LOG(INDIRECT("RawMaterials[@[Lab Unit P 1]:[Lab Unit P "&amp;RawMaterials[[#This Row],[Lab Quote Count]]&amp;"]]")),LOG(INDIRECT("RawMaterials[@[Lab Q Model Units 1]:[Lab Q Model Units "&amp;RawMaterials[[#This Row],[Lab Quote Count]]&amp;"]]"))),"")</f>
        <v/>
      </c>
      <c r="AG247" s="367" t="str">
        <f ca="1">IF(RawMaterials[[#This Row],[Lab Quote Count]]&gt;1,INTERCEPT(LOG(INDIRECT("RawMaterials[@[Lab Unit P 1]:[Lab Unit P "&amp;RawMaterials[[#This Row],[Lab Quote Count]]&amp;"]]")),LOG(INDIRECT("RawMaterials[@[Lab Q Model Units 1]:[Lab Q Model Units "&amp;RawMaterials[[#This Row],[Lab Quote Count]]&amp;"]]"))),"")</f>
        <v/>
      </c>
      <c r="AH247" s="368" t="str">
        <f>IF(RawMaterials[[#This Row],[Material Type]]="Metal Precursor","D13",IF(RawMaterials[[#This Row],[Material Type]]="Ligand","D13","D12"))</f>
        <v>D12</v>
      </c>
      <c r="AI247" s="369" t="str">
        <f ca="1">IF(RawMaterials[[#This Row],[Lab Quote Count]]&gt;1,10^RawMaterials[[#This Row],[Lab Log-Log Intercept]]*INDIRECT(RawMaterials[[#This Row],[Basis Cell]])^RawMaterials[[#This Row],[Lab Log-Log Slope]],"&gt;&gt;&gt; Enter 2 or more lab quotes &lt;&lt;&lt;")</f>
        <v>&gt;&gt;&gt; Enter 2 or more lab quotes &lt;&lt;&lt;</v>
      </c>
      <c r="AJ2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47" s="372">
        <f>IF(ISTEXT(RawMaterials[[#This Row],[Unit price in quote year]]),"Check calcs",RawMaterials[[#This Row],[Unit price in quote year]]/VLOOKUP(RawMaterials[[#This Row],[Quote Year]],ChemPPI[],14,FALSE)*VLOOKUP(BasisYear,ChemPPI[],14,FALSE))</f>
        <v>0.84825965447154483</v>
      </c>
      <c r="AM247" s="373" t="str">
        <f t="shared" si="3"/>
        <v>$/lb (2016)</v>
      </c>
    </row>
    <row r="248" spans="1:39">
      <c r="A248" s="263" t="s">
        <v>1350</v>
      </c>
      <c r="B248" s="264"/>
      <c r="C248" s="271"/>
      <c r="D248" s="365"/>
      <c r="E248" s="264">
        <v>100</v>
      </c>
      <c r="F248" s="264"/>
      <c r="G248" s="271"/>
      <c r="H248" s="271"/>
      <c r="I248" s="268"/>
      <c r="J248" s="271"/>
      <c r="K248" s="271"/>
      <c r="L248" s="271"/>
      <c r="M248" s="271"/>
      <c r="N248" s="271"/>
      <c r="O248" s="271"/>
      <c r="P248" s="265">
        <v>0.32</v>
      </c>
      <c r="Q248" s="264">
        <v>1</v>
      </c>
      <c r="R248" s="264" t="s">
        <v>20</v>
      </c>
      <c r="S248" s="264">
        <v>2006</v>
      </c>
      <c r="T248" s="266" t="s">
        <v>163</v>
      </c>
      <c r="U248" s="267">
        <v>42653</v>
      </c>
      <c r="V248" s="269"/>
      <c r="W248" s="366">
        <f>COUNT(RawMaterials[[#This Row],[Lab Quantity 1]:[Lab Quantity 4]])</f>
        <v>0</v>
      </c>
      <c r="X2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8" s="367" t="e">
        <f>RawMaterials[[#This Row],[Lab Price 1]]/RawMaterials[[#This Row],[Lab Q Model Units 1]]</f>
        <v>#N/A</v>
      </c>
      <c r="AC248" s="367" t="e">
        <f>RawMaterials[[#This Row],[Lab Price 2]]/RawMaterials[[#This Row],[Lab Q Model Units 2]]</f>
        <v>#N/A</v>
      </c>
      <c r="AD248" s="367" t="e">
        <f>RawMaterials[[#This Row],[Lab Price 3]]/RawMaterials[[#This Row],[Lab Q Model Units 3]]</f>
        <v>#N/A</v>
      </c>
      <c r="AE248" s="367" t="e">
        <f>RawMaterials[[#This Row],[Lab Price 4]]/RawMaterials[[#This Row],[Lab Q Model Units 4]]</f>
        <v>#N/A</v>
      </c>
      <c r="AF248" s="367" t="str">
        <f ca="1">IF(RawMaterials[[#This Row],[Lab Quote Count]]&gt;1,SLOPE(LOG(INDIRECT("RawMaterials[@[Lab Unit P 1]:[Lab Unit P "&amp;RawMaterials[[#This Row],[Lab Quote Count]]&amp;"]]")),LOG(INDIRECT("RawMaterials[@[Lab Q Model Units 1]:[Lab Q Model Units "&amp;RawMaterials[[#This Row],[Lab Quote Count]]&amp;"]]"))),"")</f>
        <v/>
      </c>
      <c r="AG248" s="367" t="str">
        <f ca="1">IF(RawMaterials[[#This Row],[Lab Quote Count]]&gt;1,INTERCEPT(LOG(INDIRECT("RawMaterials[@[Lab Unit P 1]:[Lab Unit P "&amp;RawMaterials[[#This Row],[Lab Quote Count]]&amp;"]]")),LOG(INDIRECT("RawMaterials[@[Lab Q Model Units 1]:[Lab Q Model Units "&amp;RawMaterials[[#This Row],[Lab Quote Count]]&amp;"]]"))),"")</f>
        <v/>
      </c>
      <c r="AH248" s="368" t="str">
        <f>IF(RawMaterials[[#This Row],[Material Type]]="Metal Precursor","D13",IF(RawMaterials[[#This Row],[Material Type]]="Ligand","D13","D12"))</f>
        <v>D12</v>
      </c>
      <c r="AI248" s="369" t="str">
        <f ca="1">IF(RawMaterials[[#This Row],[Lab Quote Count]]&gt;1,10^RawMaterials[[#This Row],[Lab Log-Log Intercept]]*INDIRECT(RawMaterials[[#This Row],[Basis Cell]])^RawMaterials[[#This Row],[Lab Log-Log Slope]],"&gt;&gt;&gt; Enter 2 or more lab quotes &lt;&lt;&lt;")</f>
        <v>&gt;&gt;&gt; Enter 2 or more lab quotes &lt;&lt;&lt;</v>
      </c>
      <c r="AJ2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v>
      </c>
      <c r="AL248" s="372">
        <f>IF(ISTEXT(RawMaterials[[#This Row],[Unit price in quote year]]),"Check calcs",RawMaterials[[#This Row],[Unit price in quote year]]/VLOOKUP(RawMaterials[[#This Row],[Quote Year]],ChemPPI[],14,FALSE)*VLOOKUP(BasisYear,ChemPPI[],14,FALSE))</f>
        <v>0.43430894308943097</v>
      </c>
      <c r="AM248" s="373" t="str">
        <f t="shared" si="3"/>
        <v>$/lb (2016)</v>
      </c>
    </row>
    <row r="249" spans="1:39">
      <c r="A249" s="263" t="s">
        <v>1351</v>
      </c>
      <c r="B249" s="264"/>
      <c r="C249" s="271"/>
      <c r="D249" s="365"/>
      <c r="E249" s="264">
        <v>100</v>
      </c>
      <c r="F249" s="264"/>
      <c r="G249" s="271"/>
      <c r="H249" s="271"/>
      <c r="I249" s="268"/>
      <c r="J249" s="271"/>
      <c r="K249" s="271"/>
      <c r="L249" s="271"/>
      <c r="M249" s="271"/>
      <c r="N249" s="271"/>
      <c r="O249" s="271"/>
      <c r="P249" s="265">
        <v>0.84499999999999997</v>
      </c>
      <c r="Q249" s="264">
        <v>1</v>
      </c>
      <c r="R249" s="264" t="s">
        <v>20</v>
      </c>
      <c r="S249" s="264">
        <v>2008</v>
      </c>
      <c r="T249" s="266" t="s">
        <v>163</v>
      </c>
      <c r="U249" s="267">
        <v>42653</v>
      </c>
      <c r="V249" s="269"/>
      <c r="W249" s="366">
        <f>COUNT(RawMaterials[[#This Row],[Lab Quantity 1]:[Lab Quantity 4]])</f>
        <v>0</v>
      </c>
      <c r="X2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49" s="367" t="e">
        <f>RawMaterials[[#This Row],[Lab Price 1]]/RawMaterials[[#This Row],[Lab Q Model Units 1]]</f>
        <v>#N/A</v>
      </c>
      <c r="AC249" s="367" t="e">
        <f>RawMaterials[[#This Row],[Lab Price 2]]/RawMaterials[[#This Row],[Lab Q Model Units 2]]</f>
        <v>#N/A</v>
      </c>
      <c r="AD249" s="367" t="e">
        <f>RawMaterials[[#This Row],[Lab Price 3]]/RawMaterials[[#This Row],[Lab Q Model Units 3]]</f>
        <v>#N/A</v>
      </c>
      <c r="AE249" s="367" t="e">
        <f>RawMaterials[[#This Row],[Lab Price 4]]/RawMaterials[[#This Row],[Lab Q Model Units 4]]</f>
        <v>#N/A</v>
      </c>
      <c r="AF249" s="367" t="str">
        <f ca="1">IF(RawMaterials[[#This Row],[Lab Quote Count]]&gt;1,SLOPE(LOG(INDIRECT("RawMaterials[@[Lab Unit P 1]:[Lab Unit P "&amp;RawMaterials[[#This Row],[Lab Quote Count]]&amp;"]]")),LOG(INDIRECT("RawMaterials[@[Lab Q Model Units 1]:[Lab Q Model Units "&amp;RawMaterials[[#This Row],[Lab Quote Count]]&amp;"]]"))),"")</f>
        <v/>
      </c>
      <c r="AG249" s="367" t="str">
        <f ca="1">IF(RawMaterials[[#This Row],[Lab Quote Count]]&gt;1,INTERCEPT(LOG(INDIRECT("RawMaterials[@[Lab Unit P 1]:[Lab Unit P "&amp;RawMaterials[[#This Row],[Lab Quote Count]]&amp;"]]")),LOG(INDIRECT("RawMaterials[@[Lab Q Model Units 1]:[Lab Q Model Units "&amp;RawMaterials[[#This Row],[Lab Quote Count]]&amp;"]]"))),"")</f>
        <v/>
      </c>
      <c r="AH249" s="368" t="str">
        <f>IF(RawMaterials[[#This Row],[Material Type]]="Metal Precursor","D13",IF(RawMaterials[[#This Row],[Material Type]]="Ligand","D13","D12"))</f>
        <v>D12</v>
      </c>
      <c r="AI249" s="369" t="str">
        <f ca="1">IF(RawMaterials[[#This Row],[Lab Quote Count]]&gt;1,10^RawMaterials[[#This Row],[Lab Log-Log Intercept]]*INDIRECT(RawMaterials[[#This Row],[Basis Cell]])^RawMaterials[[#This Row],[Lab Log-Log Slope]],"&gt;&gt;&gt; Enter 2 or more lab quotes &lt;&lt;&lt;")</f>
        <v>&gt;&gt;&gt; Enter 2 or more lab quotes &lt;&lt;&lt;</v>
      </c>
      <c r="AJ2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0.84499999999999997</v>
      </c>
      <c r="AL249" s="372">
        <f>IF(ISTEXT(RawMaterials[[#This Row],[Unit price in quote year]]),"Check calcs",RawMaterials[[#This Row],[Unit price in quote year]]/VLOOKUP(RawMaterials[[#This Row],[Quote Year]],ChemPPI[],14,FALSE)*VLOOKUP(BasisYear,ChemPPI[],14,FALSE))</f>
        <v>0.98900639035968607</v>
      </c>
      <c r="AM249" s="373" t="str">
        <f t="shared" si="3"/>
        <v>$/lb (2016)</v>
      </c>
    </row>
    <row r="250" spans="1:39">
      <c r="A250" s="263" t="s">
        <v>1352</v>
      </c>
      <c r="B250" s="264"/>
      <c r="C250" s="271"/>
      <c r="D250" s="365"/>
      <c r="E250" s="264">
        <v>100</v>
      </c>
      <c r="F250" s="264"/>
      <c r="G250" s="271"/>
      <c r="H250" s="271"/>
      <c r="I250" s="268"/>
      <c r="J250" s="271"/>
      <c r="K250" s="271"/>
      <c r="L250" s="271"/>
      <c r="M250" s="271"/>
      <c r="N250" s="271"/>
      <c r="O250" s="271"/>
      <c r="P250" s="265">
        <v>0.63500000000000001</v>
      </c>
      <c r="Q250" s="264">
        <v>1</v>
      </c>
      <c r="R250" s="264" t="s">
        <v>20</v>
      </c>
      <c r="S250" s="264">
        <v>2008</v>
      </c>
      <c r="T250" s="266" t="s">
        <v>163</v>
      </c>
      <c r="U250" s="267">
        <v>42653</v>
      </c>
      <c r="V250" s="269"/>
      <c r="W250" s="366">
        <f>COUNT(RawMaterials[[#This Row],[Lab Quantity 1]:[Lab Quantity 4]])</f>
        <v>0</v>
      </c>
      <c r="X2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0" s="367" t="e">
        <f>RawMaterials[[#This Row],[Lab Price 1]]/RawMaterials[[#This Row],[Lab Q Model Units 1]]</f>
        <v>#N/A</v>
      </c>
      <c r="AC250" s="367" t="e">
        <f>RawMaterials[[#This Row],[Lab Price 2]]/RawMaterials[[#This Row],[Lab Q Model Units 2]]</f>
        <v>#N/A</v>
      </c>
      <c r="AD250" s="367" t="e">
        <f>RawMaterials[[#This Row],[Lab Price 3]]/RawMaterials[[#This Row],[Lab Q Model Units 3]]</f>
        <v>#N/A</v>
      </c>
      <c r="AE250" s="367" t="e">
        <f>RawMaterials[[#This Row],[Lab Price 4]]/RawMaterials[[#This Row],[Lab Q Model Units 4]]</f>
        <v>#N/A</v>
      </c>
      <c r="AF250" s="367" t="str">
        <f ca="1">IF(RawMaterials[[#This Row],[Lab Quote Count]]&gt;1,SLOPE(LOG(INDIRECT("RawMaterials[@[Lab Unit P 1]:[Lab Unit P "&amp;RawMaterials[[#This Row],[Lab Quote Count]]&amp;"]]")),LOG(INDIRECT("RawMaterials[@[Lab Q Model Units 1]:[Lab Q Model Units "&amp;RawMaterials[[#This Row],[Lab Quote Count]]&amp;"]]"))),"")</f>
        <v/>
      </c>
      <c r="AG250" s="367" t="str">
        <f ca="1">IF(RawMaterials[[#This Row],[Lab Quote Count]]&gt;1,INTERCEPT(LOG(INDIRECT("RawMaterials[@[Lab Unit P 1]:[Lab Unit P "&amp;RawMaterials[[#This Row],[Lab Quote Count]]&amp;"]]")),LOG(INDIRECT("RawMaterials[@[Lab Q Model Units 1]:[Lab Q Model Units "&amp;RawMaterials[[#This Row],[Lab Quote Count]]&amp;"]]"))),"")</f>
        <v/>
      </c>
      <c r="AH250" s="368" t="str">
        <f>IF(RawMaterials[[#This Row],[Material Type]]="Metal Precursor","D13",IF(RawMaterials[[#This Row],[Material Type]]="Ligand","D13","D12"))</f>
        <v>D12</v>
      </c>
      <c r="AI250" s="369" t="str">
        <f ca="1">IF(RawMaterials[[#This Row],[Lab Quote Count]]&gt;1,10^RawMaterials[[#This Row],[Lab Log-Log Intercept]]*INDIRECT(RawMaterials[[#This Row],[Basis Cell]])^RawMaterials[[#This Row],[Lab Log-Log Slope]],"&gt;&gt;&gt; Enter 2 or more lab quotes &lt;&lt;&lt;")</f>
        <v>&gt;&gt;&gt; Enter 2 or more lab quotes &lt;&lt;&lt;</v>
      </c>
      <c r="AJ2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0.63500000000000001</v>
      </c>
      <c r="AL250" s="372">
        <f>IF(ISTEXT(RawMaterials[[#This Row],[Unit price in quote year]]),"Check calcs",RawMaterials[[#This Row],[Unit price in quote year]]/VLOOKUP(RawMaterials[[#This Row],[Quote Year]],ChemPPI[],14,FALSE)*VLOOKUP(BasisYear,ChemPPI[],14,FALSE))</f>
        <v>0.74321781997443859</v>
      </c>
      <c r="AM250" s="373" t="str">
        <f t="shared" si="3"/>
        <v>$/lb (2016)</v>
      </c>
    </row>
    <row r="251" spans="1:39">
      <c r="A251" s="263" t="s">
        <v>1353</v>
      </c>
      <c r="B251" s="264"/>
      <c r="C251" s="271"/>
      <c r="D251" s="365"/>
      <c r="E251" s="264">
        <v>100</v>
      </c>
      <c r="F251" s="264"/>
      <c r="G251" s="271"/>
      <c r="H251" s="271"/>
      <c r="I251" s="268"/>
      <c r="J251" s="271"/>
      <c r="K251" s="271"/>
      <c r="L251" s="271"/>
      <c r="M251" s="271"/>
      <c r="N251" s="271"/>
      <c r="O251" s="271"/>
      <c r="P251" s="265">
        <v>0.65500000000000003</v>
      </c>
      <c r="Q251" s="264">
        <v>1</v>
      </c>
      <c r="R251" s="264" t="s">
        <v>20</v>
      </c>
      <c r="S251" s="264">
        <v>2008</v>
      </c>
      <c r="T251" s="266" t="s">
        <v>163</v>
      </c>
      <c r="U251" s="267">
        <v>42653</v>
      </c>
      <c r="V251" s="269"/>
      <c r="W251" s="366">
        <f>COUNT(RawMaterials[[#This Row],[Lab Quantity 1]:[Lab Quantity 4]])</f>
        <v>0</v>
      </c>
      <c r="X2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1" s="367" t="e">
        <f>RawMaterials[[#This Row],[Lab Price 1]]/RawMaterials[[#This Row],[Lab Q Model Units 1]]</f>
        <v>#N/A</v>
      </c>
      <c r="AC251" s="367" t="e">
        <f>RawMaterials[[#This Row],[Lab Price 2]]/RawMaterials[[#This Row],[Lab Q Model Units 2]]</f>
        <v>#N/A</v>
      </c>
      <c r="AD251" s="367" t="e">
        <f>RawMaterials[[#This Row],[Lab Price 3]]/RawMaterials[[#This Row],[Lab Q Model Units 3]]</f>
        <v>#N/A</v>
      </c>
      <c r="AE251" s="367" t="e">
        <f>RawMaterials[[#This Row],[Lab Price 4]]/RawMaterials[[#This Row],[Lab Q Model Units 4]]</f>
        <v>#N/A</v>
      </c>
      <c r="AF251" s="367" t="str">
        <f ca="1">IF(RawMaterials[[#This Row],[Lab Quote Count]]&gt;1,SLOPE(LOG(INDIRECT("RawMaterials[@[Lab Unit P 1]:[Lab Unit P "&amp;RawMaterials[[#This Row],[Lab Quote Count]]&amp;"]]")),LOG(INDIRECT("RawMaterials[@[Lab Q Model Units 1]:[Lab Q Model Units "&amp;RawMaterials[[#This Row],[Lab Quote Count]]&amp;"]]"))),"")</f>
        <v/>
      </c>
      <c r="AG251" s="367" t="str">
        <f ca="1">IF(RawMaterials[[#This Row],[Lab Quote Count]]&gt;1,INTERCEPT(LOG(INDIRECT("RawMaterials[@[Lab Unit P 1]:[Lab Unit P "&amp;RawMaterials[[#This Row],[Lab Quote Count]]&amp;"]]")),LOG(INDIRECT("RawMaterials[@[Lab Q Model Units 1]:[Lab Q Model Units "&amp;RawMaterials[[#This Row],[Lab Quote Count]]&amp;"]]"))),"")</f>
        <v/>
      </c>
      <c r="AH251" s="368" t="str">
        <f>IF(RawMaterials[[#This Row],[Material Type]]="Metal Precursor","D13",IF(RawMaterials[[#This Row],[Material Type]]="Ligand","D13","D12"))</f>
        <v>D12</v>
      </c>
      <c r="AI251" s="369" t="str">
        <f ca="1">IF(RawMaterials[[#This Row],[Lab Quote Count]]&gt;1,10^RawMaterials[[#This Row],[Lab Log-Log Intercept]]*INDIRECT(RawMaterials[[#This Row],[Basis Cell]])^RawMaterials[[#This Row],[Lab Log-Log Slope]],"&gt;&gt;&gt; Enter 2 or more lab quotes &lt;&lt;&lt;")</f>
        <v>&gt;&gt;&gt; Enter 2 or more lab quotes &lt;&lt;&lt;</v>
      </c>
      <c r="AJ2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251" s="372">
        <f>IF(ISTEXT(RawMaterials[[#This Row],[Unit price in quote year]]),"Check calcs",RawMaterials[[#This Row],[Unit price in quote year]]/VLOOKUP(RawMaterials[[#This Row],[Quote Year]],ChemPPI[],14,FALSE)*VLOOKUP(BasisYear,ChemPPI[],14,FALSE))</f>
        <v>0.76662625524922401</v>
      </c>
      <c r="AM251" s="373" t="str">
        <f t="shared" si="3"/>
        <v>$/lb (2016)</v>
      </c>
    </row>
    <row r="252" spans="1:39">
      <c r="A252" s="263" t="s">
        <v>1354</v>
      </c>
      <c r="B252" s="264"/>
      <c r="C252" s="271"/>
      <c r="D252" s="365"/>
      <c r="E252" s="264">
        <v>100</v>
      </c>
      <c r="F252" s="264"/>
      <c r="G252" s="271"/>
      <c r="H252" s="271"/>
      <c r="I252" s="268"/>
      <c r="J252" s="271"/>
      <c r="K252" s="271"/>
      <c r="L252" s="271"/>
      <c r="M252" s="271"/>
      <c r="N252" s="271"/>
      <c r="O252" s="271"/>
      <c r="P252" s="265">
        <v>0.46</v>
      </c>
      <c r="Q252" s="264">
        <v>1</v>
      </c>
      <c r="R252" s="264" t="s">
        <v>20</v>
      </c>
      <c r="S252" s="264">
        <v>2006</v>
      </c>
      <c r="T252" s="266" t="s">
        <v>163</v>
      </c>
      <c r="U252" s="267">
        <v>42653</v>
      </c>
      <c r="V252" s="269"/>
      <c r="W252" s="366">
        <f>COUNT(RawMaterials[[#This Row],[Lab Quantity 1]:[Lab Quantity 4]])</f>
        <v>0</v>
      </c>
      <c r="X2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2" s="367" t="e">
        <f>RawMaterials[[#This Row],[Lab Price 1]]/RawMaterials[[#This Row],[Lab Q Model Units 1]]</f>
        <v>#N/A</v>
      </c>
      <c r="AC252" s="367" t="e">
        <f>RawMaterials[[#This Row],[Lab Price 2]]/RawMaterials[[#This Row],[Lab Q Model Units 2]]</f>
        <v>#N/A</v>
      </c>
      <c r="AD252" s="367" t="e">
        <f>RawMaterials[[#This Row],[Lab Price 3]]/RawMaterials[[#This Row],[Lab Q Model Units 3]]</f>
        <v>#N/A</v>
      </c>
      <c r="AE252" s="367" t="e">
        <f>RawMaterials[[#This Row],[Lab Price 4]]/RawMaterials[[#This Row],[Lab Q Model Units 4]]</f>
        <v>#N/A</v>
      </c>
      <c r="AF252" s="367" t="str">
        <f ca="1">IF(RawMaterials[[#This Row],[Lab Quote Count]]&gt;1,SLOPE(LOG(INDIRECT("RawMaterials[@[Lab Unit P 1]:[Lab Unit P "&amp;RawMaterials[[#This Row],[Lab Quote Count]]&amp;"]]")),LOG(INDIRECT("RawMaterials[@[Lab Q Model Units 1]:[Lab Q Model Units "&amp;RawMaterials[[#This Row],[Lab Quote Count]]&amp;"]]"))),"")</f>
        <v/>
      </c>
      <c r="AG252" s="367" t="str">
        <f ca="1">IF(RawMaterials[[#This Row],[Lab Quote Count]]&gt;1,INTERCEPT(LOG(INDIRECT("RawMaterials[@[Lab Unit P 1]:[Lab Unit P "&amp;RawMaterials[[#This Row],[Lab Quote Count]]&amp;"]]")),LOG(INDIRECT("RawMaterials[@[Lab Q Model Units 1]:[Lab Q Model Units "&amp;RawMaterials[[#This Row],[Lab Quote Count]]&amp;"]]"))),"")</f>
        <v/>
      </c>
      <c r="AH252" s="368" t="str">
        <f>IF(RawMaterials[[#This Row],[Material Type]]="Metal Precursor","D13",IF(RawMaterials[[#This Row],[Material Type]]="Ligand","D13","D12"))</f>
        <v>D12</v>
      </c>
      <c r="AI252" s="369" t="str">
        <f ca="1">IF(RawMaterials[[#This Row],[Lab Quote Count]]&gt;1,10^RawMaterials[[#This Row],[Lab Log-Log Intercept]]*INDIRECT(RawMaterials[[#This Row],[Basis Cell]])^RawMaterials[[#This Row],[Lab Log-Log Slope]],"&gt;&gt;&gt; Enter 2 or more lab quotes &lt;&lt;&lt;")</f>
        <v>&gt;&gt;&gt; Enter 2 or more lab quotes &lt;&lt;&lt;</v>
      </c>
      <c r="AJ2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v>
      </c>
      <c r="AL252" s="372">
        <f>IF(ISTEXT(RawMaterials[[#This Row],[Unit price in quote year]]),"Check calcs",RawMaterials[[#This Row],[Unit price in quote year]]/VLOOKUP(RawMaterials[[#This Row],[Quote Year]],ChemPPI[],14,FALSE)*VLOOKUP(BasisYear,ChemPPI[],14,FALSE))</f>
        <v>0.62431910569105709</v>
      </c>
      <c r="AM252" s="373" t="str">
        <f t="shared" si="3"/>
        <v>$/lb (2016)</v>
      </c>
    </row>
    <row r="253" spans="1:39">
      <c r="A253" s="263" t="s">
        <v>1355</v>
      </c>
      <c r="B253" s="264"/>
      <c r="C253" s="271"/>
      <c r="D253" s="365"/>
      <c r="E253" s="264">
        <v>100</v>
      </c>
      <c r="F253" s="264"/>
      <c r="G253" s="271"/>
      <c r="H253" s="271"/>
      <c r="I253" s="268"/>
      <c r="J253" s="271"/>
      <c r="K253" s="271"/>
      <c r="L253" s="271"/>
      <c r="M253" s="271"/>
      <c r="N253" s="271"/>
      <c r="O253" s="271"/>
      <c r="P253" s="265">
        <v>265</v>
      </c>
      <c r="Q253" s="264">
        <v>1</v>
      </c>
      <c r="R253" s="264" t="s">
        <v>406</v>
      </c>
      <c r="S253" s="264">
        <v>2006</v>
      </c>
      <c r="T253" s="266" t="s">
        <v>163</v>
      </c>
      <c r="U253" s="267">
        <v>42653</v>
      </c>
      <c r="V253" s="269"/>
      <c r="W253" s="366">
        <f>COUNT(RawMaterials[[#This Row],[Lab Quantity 1]:[Lab Quantity 4]])</f>
        <v>0</v>
      </c>
      <c r="X2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3" s="367" t="e">
        <f>RawMaterials[[#This Row],[Lab Price 1]]/RawMaterials[[#This Row],[Lab Q Model Units 1]]</f>
        <v>#N/A</v>
      </c>
      <c r="AC253" s="367" t="e">
        <f>RawMaterials[[#This Row],[Lab Price 2]]/RawMaterials[[#This Row],[Lab Q Model Units 2]]</f>
        <v>#N/A</v>
      </c>
      <c r="AD253" s="367" t="e">
        <f>RawMaterials[[#This Row],[Lab Price 3]]/RawMaterials[[#This Row],[Lab Q Model Units 3]]</f>
        <v>#N/A</v>
      </c>
      <c r="AE253" s="367" t="e">
        <f>RawMaterials[[#This Row],[Lab Price 4]]/RawMaterials[[#This Row],[Lab Q Model Units 4]]</f>
        <v>#N/A</v>
      </c>
      <c r="AF253" s="367" t="str">
        <f ca="1">IF(RawMaterials[[#This Row],[Lab Quote Count]]&gt;1,SLOPE(LOG(INDIRECT("RawMaterials[@[Lab Unit P 1]:[Lab Unit P "&amp;RawMaterials[[#This Row],[Lab Quote Count]]&amp;"]]")),LOG(INDIRECT("RawMaterials[@[Lab Q Model Units 1]:[Lab Q Model Units "&amp;RawMaterials[[#This Row],[Lab Quote Count]]&amp;"]]"))),"")</f>
        <v/>
      </c>
      <c r="AG253" s="367" t="str">
        <f ca="1">IF(RawMaterials[[#This Row],[Lab Quote Count]]&gt;1,INTERCEPT(LOG(INDIRECT("RawMaterials[@[Lab Unit P 1]:[Lab Unit P "&amp;RawMaterials[[#This Row],[Lab Quote Count]]&amp;"]]")),LOG(INDIRECT("RawMaterials[@[Lab Q Model Units 1]:[Lab Q Model Units "&amp;RawMaterials[[#This Row],[Lab Quote Count]]&amp;"]]"))),"")</f>
        <v/>
      </c>
      <c r="AH253" s="368" t="str">
        <f>IF(RawMaterials[[#This Row],[Material Type]]="Metal Precursor","D13",IF(RawMaterials[[#This Row],[Material Type]]="Ligand","D13","D12"))</f>
        <v>D12</v>
      </c>
      <c r="AI253" s="369" t="str">
        <f ca="1">IF(RawMaterials[[#This Row],[Lab Quote Count]]&gt;1,10^RawMaterials[[#This Row],[Lab Log-Log Intercept]]*INDIRECT(RawMaterials[[#This Row],[Basis Cell]])^RawMaterials[[#This Row],[Lab Log-Log Slope]],"&gt;&gt;&gt; Enter 2 or more lab quotes &lt;&lt;&lt;")</f>
        <v>&gt;&gt;&gt; Enter 2 or more lab quotes &lt;&lt;&lt;</v>
      </c>
      <c r="AJ2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0.13250000000000001</v>
      </c>
      <c r="AL253" s="372">
        <f>IF(ISTEXT(RawMaterials[[#This Row],[Unit price in quote year]]),"Check calcs",RawMaterials[[#This Row],[Unit price in quote year]]/VLOOKUP(RawMaterials[[#This Row],[Quote Year]],ChemPPI[],14,FALSE)*VLOOKUP(BasisYear,ChemPPI[],14,FALSE))</f>
        <v>0.17983104674796752</v>
      </c>
      <c r="AM253" s="373" t="str">
        <f t="shared" si="3"/>
        <v>$/lb (2016)</v>
      </c>
    </row>
    <row r="254" spans="1:39">
      <c r="A254" s="263" t="s">
        <v>1356</v>
      </c>
      <c r="B254" s="264"/>
      <c r="C254" s="271"/>
      <c r="D254" s="365"/>
      <c r="E254" s="264">
        <v>100</v>
      </c>
      <c r="F254" s="264"/>
      <c r="G254" s="271"/>
      <c r="H254" s="271"/>
      <c r="I254" s="268"/>
      <c r="J254" s="271"/>
      <c r="K254" s="271"/>
      <c r="L254" s="271"/>
      <c r="M254" s="271"/>
      <c r="N254" s="271"/>
      <c r="O254" s="271"/>
      <c r="P254" s="265">
        <v>117.5</v>
      </c>
      <c r="Q254" s="264">
        <v>1</v>
      </c>
      <c r="R254" s="264" t="s">
        <v>406</v>
      </c>
      <c r="S254" s="264">
        <v>2006</v>
      </c>
      <c r="T254" s="266" t="s">
        <v>163</v>
      </c>
      <c r="U254" s="267">
        <v>42653</v>
      </c>
      <c r="V254" s="269"/>
      <c r="W254" s="366">
        <f>COUNT(RawMaterials[[#This Row],[Lab Quantity 1]:[Lab Quantity 4]])</f>
        <v>0</v>
      </c>
      <c r="X2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4" s="367" t="e">
        <f>RawMaterials[[#This Row],[Lab Price 1]]/RawMaterials[[#This Row],[Lab Q Model Units 1]]</f>
        <v>#N/A</v>
      </c>
      <c r="AC254" s="367" t="e">
        <f>RawMaterials[[#This Row],[Lab Price 2]]/RawMaterials[[#This Row],[Lab Q Model Units 2]]</f>
        <v>#N/A</v>
      </c>
      <c r="AD254" s="367" t="e">
        <f>RawMaterials[[#This Row],[Lab Price 3]]/RawMaterials[[#This Row],[Lab Q Model Units 3]]</f>
        <v>#N/A</v>
      </c>
      <c r="AE254" s="367" t="e">
        <f>RawMaterials[[#This Row],[Lab Price 4]]/RawMaterials[[#This Row],[Lab Q Model Units 4]]</f>
        <v>#N/A</v>
      </c>
      <c r="AF254" s="367" t="str">
        <f ca="1">IF(RawMaterials[[#This Row],[Lab Quote Count]]&gt;1,SLOPE(LOG(INDIRECT("RawMaterials[@[Lab Unit P 1]:[Lab Unit P "&amp;RawMaterials[[#This Row],[Lab Quote Count]]&amp;"]]")),LOG(INDIRECT("RawMaterials[@[Lab Q Model Units 1]:[Lab Q Model Units "&amp;RawMaterials[[#This Row],[Lab Quote Count]]&amp;"]]"))),"")</f>
        <v/>
      </c>
      <c r="AG254" s="367" t="str">
        <f ca="1">IF(RawMaterials[[#This Row],[Lab Quote Count]]&gt;1,INTERCEPT(LOG(INDIRECT("RawMaterials[@[Lab Unit P 1]:[Lab Unit P "&amp;RawMaterials[[#This Row],[Lab Quote Count]]&amp;"]]")),LOG(INDIRECT("RawMaterials[@[Lab Q Model Units 1]:[Lab Q Model Units "&amp;RawMaterials[[#This Row],[Lab Quote Count]]&amp;"]]"))),"")</f>
        <v/>
      </c>
      <c r="AH254" s="368" t="str">
        <f>IF(RawMaterials[[#This Row],[Material Type]]="Metal Precursor","D13",IF(RawMaterials[[#This Row],[Material Type]]="Ligand","D13","D12"))</f>
        <v>D12</v>
      </c>
      <c r="AI254" s="369" t="str">
        <f ca="1">IF(RawMaterials[[#This Row],[Lab Quote Count]]&gt;1,10^RawMaterials[[#This Row],[Lab Log-Log Intercept]]*INDIRECT(RawMaterials[[#This Row],[Basis Cell]])^RawMaterials[[#This Row],[Lab Log-Log Slope]],"&gt;&gt;&gt; Enter 2 or more lab quotes &lt;&lt;&lt;")</f>
        <v>&gt;&gt;&gt; Enter 2 or more lab quotes &lt;&lt;&lt;</v>
      </c>
      <c r="AJ2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5.8749999999999997E-2</v>
      </c>
      <c r="AL254" s="372">
        <f>IF(ISTEXT(RawMaterials[[#This Row],[Unit price in quote year]]),"Check calcs",RawMaterials[[#This Row],[Unit price in quote year]]/VLOOKUP(RawMaterials[[#This Row],[Quote Year]],ChemPPI[],14,FALSE)*VLOOKUP(BasisYear,ChemPPI[],14,FALSE))</f>
        <v>7.9736407520325223E-2</v>
      </c>
      <c r="AM254" s="373" t="str">
        <f t="shared" si="3"/>
        <v>$/lb (2016)</v>
      </c>
    </row>
    <row r="255" spans="1:39">
      <c r="A255" s="263" t="s">
        <v>1357</v>
      </c>
      <c r="B255" s="264"/>
      <c r="C255" s="271"/>
      <c r="D255" s="365"/>
      <c r="E255" s="264">
        <v>100</v>
      </c>
      <c r="F255" s="264"/>
      <c r="G255" s="271"/>
      <c r="H255" s="271"/>
      <c r="I255" s="268"/>
      <c r="J255" s="271"/>
      <c r="K255" s="271"/>
      <c r="L255" s="271"/>
      <c r="M255" s="271"/>
      <c r="N255" s="271"/>
      <c r="O255" s="271"/>
      <c r="P255" s="265">
        <v>17.100000000000001</v>
      </c>
      <c r="Q255" s="264">
        <v>1</v>
      </c>
      <c r="R255" s="264" t="s">
        <v>406</v>
      </c>
      <c r="S255" s="264">
        <v>2006</v>
      </c>
      <c r="T255" s="266" t="s">
        <v>163</v>
      </c>
      <c r="U255" s="267">
        <v>42653</v>
      </c>
      <c r="V255" s="269"/>
      <c r="W255" s="366">
        <f>COUNT(RawMaterials[[#This Row],[Lab Quantity 1]:[Lab Quantity 4]])</f>
        <v>0</v>
      </c>
      <c r="X2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5" s="367" t="e">
        <f>RawMaterials[[#This Row],[Lab Price 1]]/RawMaterials[[#This Row],[Lab Q Model Units 1]]</f>
        <v>#N/A</v>
      </c>
      <c r="AC255" s="367" t="e">
        <f>RawMaterials[[#This Row],[Lab Price 2]]/RawMaterials[[#This Row],[Lab Q Model Units 2]]</f>
        <v>#N/A</v>
      </c>
      <c r="AD255" s="367" t="e">
        <f>RawMaterials[[#This Row],[Lab Price 3]]/RawMaterials[[#This Row],[Lab Q Model Units 3]]</f>
        <v>#N/A</v>
      </c>
      <c r="AE255" s="367" t="e">
        <f>RawMaterials[[#This Row],[Lab Price 4]]/RawMaterials[[#This Row],[Lab Q Model Units 4]]</f>
        <v>#N/A</v>
      </c>
      <c r="AF255" s="367" t="str">
        <f ca="1">IF(RawMaterials[[#This Row],[Lab Quote Count]]&gt;1,SLOPE(LOG(INDIRECT("RawMaterials[@[Lab Unit P 1]:[Lab Unit P "&amp;RawMaterials[[#This Row],[Lab Quote Count]]&amp;"]]")),LOG(INDIRECT("RawMaterials[@[Lab Q Model Units 1]:[Lab Q Model Units "&amp;RawMaterials[[#This Row],[Lab Quote Count]]&amp;"]]"))),"")</f>
        <v/>
      </c>
      <c r="AG255" s="367" t="str">
        <f ca="1">IF(RawMaterials[[#This Row],[Lab Quote Count]]&gt;1,INTERCEPT(LOG(INDIRECT("RawMaterials[@[Lab Unit P 1]:[Lab Unit P "&amp;RawMaterials[[#This Row],[Lab Quote Count]]&amp;"]]")),LOG(INDIRECT("RawMaterials[@[Lab Q Model Units 1]:[Lab Q Model Units "&amp;RawMaterials[[#This Row],[Lab Quote Count]]&amp;"]]"))),"")</f>
        <v/>
      </c>
      <c r="AH255" s="368" t="str">
        <f>IF(RawMaterials[[#This Row],[Material Type]]="Metal Precursor","D13",IF(RawMaterials[[#This Row],[Material Type]]="Ligand","D13","D12"))</f>
        <v>D12</v>
      </c>
      <c r="AI255" s="369" t="str">
        <f ca="1">IF(RawMaterials[[#This Row],[Lab Quote Count]]&gt;1,10^RawMaterials[[#This Row],[Lab Log-Log Intercept]]*INDIRECT(RawMaterials[[#This Row],[Basis Cell]])^RawMaterials[[#This Row],[Lab Log-Log Slope]],"&gt;&gt;&gt; Enter 2 or more lab quotes &lt;&lt;&lt;")</f>
        <v>&gt;&gt;&gt; Enter 2 or more lab quotes &lt;&lt;&lt;</v>
      </c>
      <c r="AJ2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8.5500000000000003E-3</v>
      </c>
      <c r="AL255" s="372">
        <f>IF(ISTEXT(RawMaterials[[#This Row],[Unit price in quote year]]),"Check calcs",RawMaterials[[#This Row],[Unit price in quote year]]/VLOOKUP(RawMaterials[[#This Row],[Quote Year]],ChemPPI[],14,FALSE)*VLOOKUP(BasisYear,ChemPPI[],14,FALSE))</f>
        <v>1.1604192073170734E-2</v>
      </c>
      <c r="AM255" s="373" t="str">
        <f t="shared" si="3"/>
        <v>$/lb (2016)</v>
      </c>
    </row>
    <row r="256" spans="1:39">
      <c r="A256" s="263" t="s">
        <v>1358</v>
      </c>
      <c r="B256" s="264"/>
      <c r="C256" s="271"/>
      <c r="D256" s="365"/>
      <c r="E256" s="264">
        <v>100</v>
      </c>
      <c r="F256" s="264"/>
      <c r="G256" s="271"/>
      <c r="H256" s="271"/>
      <c r="I256" s="268"/>
      <c r="J256" s="271"/>
      <c r="K256" s="271"/>
      <c r="L256" s="271"/>
      <c r="M256" s="271"/>
      <c r="N256" s="271"/>
      <c r="O256" s="271"/>
      <c r="P256" s="265">
        <v>2.16</v>
      </c>
      <c r="Q256" s="264">
        <v>1</v>
      </c>
      <c r="R256" s="264" t="s">
        <v>20</v>
      </c>
      <c r="S256" s="264">
        <v>2006</v>
      </c>
      <c r="T256" s="266" t="s">
        <v>163</v>
      </c>
      <c r="U256" s="267">
        <v>42653</v>
      </c>
      <c r="V256" s="269"/>
      <c r="W256" s="366">
        <f>COUNT(RawMaterials[[#This Row],[Lab Quantity 1]:[Lab Quantity 4]])</f>
        <v>0</v>
      </c>
      <c r="X2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6" s="367" t="e">
        <f>RawMaterials[[#This Row],[Lab Price 1]]/RawMaterials[[#This Row],[Lab Q Model Units 1]]</f>
        <v>#N/A</v>
      </c>
      <c r="AC256" s="367" t="e">
        <f>RawMaterials[[#This Row],[Lab Price 2]]/RawMaterials[[#This Row],[Lab Q Model Units 2]]</f>
        <v>#N/A</v>
      </c>
      <c r="AD256" s="367" t="e">
        <f>RawMaterials[[#This Row],[Lab Price 3]]/RawMaterials[[#This Row],[Lab Q Model Units 3]]</f>
        <v>#N/A</v>
      </c>
      <c r="AE256" s="367" t="e">
        <f>RawMaterials[[#This Row],[Lab Price 4]]/RawMaterials[[#This Row],[Lab Q Model Units 4]]</f>
        <v>#N/A</v>
      </c>
      <c r="AF256" s="367" t="str">
        <f ca="1">IF(RawMaterials[[#This Row],[Lab Quote Count]]&gt;1,SLOPE(LOG(INDIRECT("RawMaterials[@[Lab Unit P 1]:[Lab Unit P "&amp;RawMaterials[[#This Row],[Lab Quote Count]]&amp;"]]")),LOG(INDIRECT("RawMaterials[@[Lab Q Model Units 1]:[Lab Q Model Units "&amp;RawMaterials[[#This Row],[Lab Quote Count]]&amp;"]]"))),"")</f>
        <v/>
      </c>
      <c r="AG256" s="367" t="str">
        <f ca="1">IF(RawMaterials[[#This Row],[Lab Quote Count]]&gt;1,INTERCEPT(LOG(INDIRECT("RawMaterials[@[Lab Unit P 1]:[Lab Unit P "&amp;RawMaterials[[#This Row],[Lab Quote Count]]&amp;"]]")),LOG(INDIRECT("RawMaterials[@[Lab Q Model Units 1]:[Lab Q Model Units "&amp;RawMaterials[[#This Row],[Lab Quote Count]]&amp;"]]"))),"")</f>
        <v/>
      </c>
      <c r="AH256" s="368" t="str">
        <f>IF(RawMaterials[[#This Row],[Material Type]]="Metal Precursor","D13",IF(RawMaterials[[#This Row],[Material Type]]="Ligand","D13","D12"))</f>
        <v>D12</v>
      </c>
      <c r="AI256" s="369" t="str">
        <f ca="1">IF(RawMaterials[[#This Row],[Lab Quote Count]]&gt;1,10^RawMaterials[[#This Row],[Lab Log-Log Intercept]]*INDIRECT(RawMaterials[[#This Row],[Basis Cell]])^RawMaterials[[#This Row],[Lab Log-Log Slope]],"&gt;&gt;&gt; Enter 2 or more lab quotes &lt;&lt;&lt;")</f>
        <v>&gt;&gt;&gt; Enter 2 or more lab quotes &lt;&lt;&lt;</v>
      </c>
      <c r="AJ2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2.16</v>
      </c>
      <c r="AL256" s="372">
        <f>IF(ISTEXT(RawMaterials[[#This Row],[Unit price in quote year]]),"Check calcs",RawMaterials[[#This Row],[Unit price in quote year]]/VLOOKUP(RawMaterials[[#This Row],[Quote Year]],ChemPPI[],14,FALSE)*VLOOKUP(BasisYear,ChemPPI[],14,FALSE))</f>
        <v>2.931585365853659</v>
      </c>
      <c r="AM256" s="373" t="str">
        <f t="shared" si="3"/>
        <v>$/lb (2016)</v>
      </c>
    </row>
    <row r="257" spans="1:39">
      <c r="A257" s="263" t="s">
        <v>1359</v>
      </c>
      <c r="B257" s="264"/>
      <c r="C257" s="271"/>
      <c r="D257" s="365"/>
      <c r="E257" s="264">
        <v>100</v>
      </c>
      <c r="F257" s="264"/>
      <c r="G257" s="271"/>
      <c r="H257" s="271"/>
      <c r="I257" s="268"/>
      <c r="J257" s="271"/>
      <c r="K257" s="271"/>
      <c r="L257" s="271"/>
      <c r="M257" s="271"/>
      <c r="N257" s="271"/>
      <c r="O257" s="271"/>
      <c r="P257" s="265">
        <v>9</v>
      </c>
      <c r="Q257" s="264">
        <v>1</v>
      </c>
      <c r="R257" s="264" t="s">
        <v>71</v>
      </c>
      <c r="S257" s="264">
        <v>2006</v>
      </c>
      <c r="T257" s="266" t="s">
        <v>163</v>
      </c>
      <c r="U257" s="267">
        <v>42653</v>
      </c>
      <c r="V257" s="269"/>
      <c r="W257" s="366">
        <f>COUNT(RawMaterials[[#This Row],[Lab Quantity 1]:[Lab Quantity 4]])</f>
        <v>0</v>
      </c>
      <c r="X2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7" s="367" t="e">
        <f>RawMaterials[[#This Row],[Lab Price 1]]/RawMaterials[[#This Row],[Lab Q Model Units 1]]</f>
        <v>#N/A</v>
      </c>
      <c r="AC257" s="367" t="e">
        <f>RawMaterials[[#This Row],[Lab Price 2]]/RawMaterials[[#This Row],[Lab Q Model Units 2]]</f>
        <v>#N/A</v>
      </c>
      <c r="AD257" s="367" t="e">
        <f>RawMaterials[[#This Row],[Lab Price 3]]/RawMaterials[[#This Row],[Lab Q Model Units 3]]</f>
        <v>#N/A</v>
      </c>
      <c r="AE257" s="367" t="e">
        <f>RawMaterials[[#This Row],[Lab Price 4]]/RawMaterials[[#This Row],[Lab Q Model Units 4]]</f>
        <v>#N/A</v>
      </c>
      <c r="AF257" s="367" t="str">
        <f ca="1">IF(RawMaterials[[#This Row],[Lab Quote Count]]&gt;1,SLOPE(LOG(INDIRECT("RawMaterials[@[Lab Unit P 1]:[Lab Unit P "&amp;RawMaterials[[#This Row],[Lab Quote Count]]&amp;"]]")),LOG(INDIRECT("RawMaterials[@[Lab Q Model Units 1]:[Lab Q Model Units "&amp;RawMaterials[[#This Row],[Lab Quote Count]]&amp;"]]"))),"")</f>
        <v/>
      </c>
      <c r="AG257" s="367" t="str">
        <f ca="1">IF(RawMaterials[[#This Row],[Lab Quote Count]]&gt;1,INTERCEPT(LOG(INDIRECT("RawMaterials[@[Lab Unit P 1]:[Lab Unit P "&amp;RawMaterials[[#This Row],[Lab Quote Count]]&amp;"]]")),LOG(INDIRECT("RawMaterials[@[Lab Q Model Units 1]:[Lab Q Model Units "&amp;RawMaterials[[#This Row],[Lab Quote Count]]&amp;"]]"))),"")</f>
        <v/>
      </c>
      <c r="AH257" s="368" t="str">
        <f>IF(RawMaterials[[#This Row],[Material Type]]="Metal Precursor","D13",IF(RawMaterials[[#This Row],[Material Type]]="Ligand","D13","D12"))</f>
        <v>D12</v>
      </c>
      <c r="AI257" s="369" t="str">
        <f ca="1">IF(RawMaterials[[#This Row],[Lab Quote Count]]&gt;1,10^RawMaterials[[#This Row],[Lab Log-Log Intercept]]*INDIRECT(RawMaterials[[#This Row],[Basis Cell]])^RawMaterials[[#This Row],[Lab Log-Log Slope]],"&gt;&gt;&gt; Enter 2 or more lab quotes &lt;&lt;&lt;")</f>
        <v>&gt;&gt;&gt; Enter 2 or more lab quotes &lt;&lt;&lt;</v>
      </c>
      <c r="AJ2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4.0823313300000006</v>
      </c>
      <c r="AL257" s="372">
        <f>IF(ISTEXT(RawMaterials[[#This Row],[Unit price in quote year]]),"Check calcs",RawMaterials[[#This Row],[Unit price in quote year]]/VLOOKUP(RawMaterials[[#This Row],[Quote Year]],ChemPPI[],14,FALSE)*VLOOKUP(BasisYear,ChemPPI[],14,FALSE))</f>
        <v>5.5406031414786598</v>
      </c>
      <c r="AM257" s="373" t="str">
        <f t="shared" si="3"/>
        <v>$/lb (2016)</v>
      </c>
    </row>
    <row r="258" spans="1:39">
      <c r="A258" s="263" t="s">
        <v>1360</v>
      </c>
      <c r="B258" s="264"/>
      <c r="C258" s="271"/>
      <c r="D258" s="365"/>
      <c r="E258" s="264">
        <v>100</v>
      </c>
      <c r="F258" s="264"/>
      <c r="G258" s="271"/>
      <c r="H258" s="271"/>
      <c r="I258" s="268"/>
      <c r="J258" s="271"/>
      <c r="K258" s="271"/>
      <c r="L258" s="271"/>
      <c r="M258" s="271"/>
      <c r="N258" s="271"/>
      <c r="O258" s="271"/>
      <c r="P258" s="265">
        <v>47.5</v>
      </c>
      <c r="Q258" s="264">
        <v>1</v>
      </c>
      <c r="R258" s="264" t="s">
        <v>71</v>
      </c>
      <c r="S258" s="264">
        <v>2006</v>
      </c>
      <c r="T258" s="266" t="s">
        <v>163</v>
      </c>
      <c r="U258" s="267">
        <v>42653</v>
      </c>
      <c r="V258" s="269"/>
      <c r="W258" s="366">
        <f>COUNT(RawMaterials[[#This Row],[Lab Quantity 1]:[Lab Quantity 4]])</f>
        <v>0</v>
      </c>
      <c r="X2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8" s="367" t="e">
        <f>RawMaterials[[#This Row],[Lab Price 1]]/RawMaterials[[#This Row],[Lab Q Model Units 1]]</f>
        <v>#N/A</v>
      </c>
      <c r="AC258" s="367" t="e">
        <f>RawMaterials[[#This Row],[Lab Price 2]]/RawMaterials[[#This Row],[Lab Q Model Units 2]]</f>
        <v>#N/A</v>
      </c>
      <c r="AD258" s="367" t="e">
        <f>RawMaterials[[#This Row],[Lab Price 3]]/RawMaterials[[#This Row],[Lab Q Model Units 3]]</f>
        <v>#N/A</v>
      </c>
      <c r="AE258" s="367" t="e">
        <f>RawMaterials[[#This Row],[Lab Price 4]]/RawMaterials[[#This Row],[Lab Q Model Units 4]]</f>
        <v>#N/A</v>
      </c>
      <c r="AF258" s="367" t="str">
        <f ca="1">IF(RawMaterials[[#This Row],[Lab Quote Count]]&gt;1,SLOPE(LOG(INDIRECT("RawMaterials[@[Lab Unit P 1]:[Lab Unit P "&amp;RawMaterials[[#This Row],[Lab Quote Count]]&amp;"]]")),LOG(INDIRECT("RawMaterials[@[Lab Q Model Units 1]:[Lab Q Model Units "&amp;RawMaterials[[#This Row],[Lab Quote Count]]&amp;"]]"))),"")</f>
        <v/>
      </c>
      <c r="AG258" s="367" t="str">
        <f ca="1">IF(RawMaterials[[#This Row],[Lab Quote Count]]&gt;1,INTERCEPT(LOG(INDIRECT("RawMaterials[@[Lab Unit P 1]:[Lab Unit P "&amp;RawMaterials[[#This Row],[Lab Quote Count]]&amp;"]]")),LOG(INDIRECT("RawMaterials[@[Lab Q Model Units 1]:[Lab Q Model Units "&amp;RawMaterials[[#This Row],[Lab Quote Count]]&amp;"]]"))),"")</f>
        <v/>
      </c>
      <c r="AH258" s="368" t="str">
        <f>IF(RawMaterials[[#This Row],[Material Type]]="Metal Precursor","D13",IF(RawMaterials[[#This Row],[Material Type]]="Ligand","D13","D12"))</f>
        <v>D12</v>
      </c>
      <c r="AI258" s="369" t="str">
        <f ca="1">IF(RawMaterials[[#This Row],[Lab Quote Count]]&gt;1,10^RawMaterials[[#This Row],[Lab Log-Log Intercept]]*INDIRECT(RawMaterials[[#This Row],[Basis Cell]])^RawMaterials[[#This Row],[Lab Log-Log Slope]],"&gt;&gt;&gt; Enter 2 or more lab quotes &lt;&lt;&lt;")</f>
        <v>&gt;&gt;&gt; Enter 2 or more lab quotes &lt;&lt;&lt;</v>
      </c>
      <c r="AJ2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21.545637575000001</v>
      </c>
      <c r="AL258" s="372">
        <f>IF(ISTEXT(RawMaterials[[#This Row],[Unit price in quote year]]),"Check calcs",RawMaterials[[#This Row],[Unit price in quote year]]/VLOOKUP(RawMaterials[[#This Row],[Quote Year]],ChemPPI[],14,FALSE)*VLOOKUP(BasisYear,ChemPPI[],14,FALSE))</f>
        <v>29.242072135581815</v>
      </c>
      <c r="AM258" s="373" t="str">
        <f t="shared" si="3"/>
        <v>$/lb (2016)</v>
      </c>
    </row>
    <row r="259" spans="1:39">
      <c r="A259" s="263" t="s">
        <v>1361</v>
      </c>
      <c r="B259" s="264"/>
      <c r="C259" s="271"/>
      <c r="D259" s="365"/>
      <c r="E259" s="264">
        <v>100</v>
      </c>
      <c r="F259" s="264"/>
      <c r="G259" s="271"/>
      <c r="H259" s="271"/>
      <c r="I259" s="268"/>
      <c r="J259" s="271"/>
      <c r="K259" s="271"/>
      <c r="L259" s="271"/>
      <c r="M259" s="271"/>
      <c r="N259" s="271"/>
      <c r="O259" s="271"/>
      <c r="P259" s="265">
        <v>50</v>
      </c>
      <c r="Q259" s="264">
        <v>1</v>
      </c>
      <c r="R259" s="264" t="s">
        <v>71</v>
      </c>
      <c r="S259" s="264">
        <v>2006</v>
      </c>
      <c r="T259" s="266" t="s">
        <v>163</v>
      </c>
      <c r="U259" s="267">
        <v>42653</v>
      </c>
      <c r="V259" s="269"/>
      <c r="W259" s="366">
        <f>COUNT(RawMaterials[[#This Row],[Lab Quantity 1]:[Lab Quantity 4]])</f>
        <v>0</v>
      </c>
      <c r="X2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59" s="367" t="e">
        <f>RawMaterials[[#This Row],[Lab Price 1]]/RawMaterials[[#This Row],[Lab Q Model Units 1]]</f>
        <v>#N/A</v>
      </c>
      <c r="AC259" s="367" t="e">
        <f>RawMaterials[[#This Row],[Lab Price 2]]/RawMaterials[[#This Row],[Lab Q Model Units 2]]</f>
        <v>#N/A</v>
      </c>
      <c r="AD259" s="367" t="e">
        <f>RawMaterials[[#This Row],[Lab Price 3]]/RawMaterials[[#This Row],[Lab Q Model Units 3]]</f>
        <v>#N/A</v>
      </c>
      <c r="AE259" s="367" t="e">
        <f>RawMaterials[[#This Row],[Lab Price 4]]/RawMaterials[[#This Row],[Lab Q Model Units 4]]</f>
        <v>#N/A</v>
      </c>
      <c r="AF259" s="367" t="str">
        <f ca="1">IF(RawMaterials[[#This Row],[Lab Quote Count]]&gt;1,SLOPE(LOG(INDIRECT("RawMaterials[@[Lab Unit P 1]:[Lab Unit P "&amp;RawMaterials[[#This Row],[Lab Quote Count]]&amp;"]]")),LOG(INDIRECT("RawMaterials[@[Lab Q Model Units 1]:[Lab Q Model Units "&amp;RawMaterials[[#This Row],[Lab Quote Count]]&amp;"]]"))),"")</f>
        <v/>
      </c>
      <c r="AG259" s="367" t="str">
        <f ca="1">IF(RawMaterials[[#This Row],[Lab Quote Count]]&gt;1,INTERCEPT(LOG(INDIRECT("RawMaterials[@[Lab Unit P 1]:[Lab Unit P "&amp;RawMaterials[[#This Row],[Lab Quote Count]]&amp;"]]")),LOG(INDIRECT("RawMaterials[@[Lab Q Model Units 1]:[Lab Q Model Units "&amp;RawMaterials[[#This Row],[Lab Quote Count]]&amp;"]]"))),"")</f>
        <v/>
      </c>
      <c r="AH259" s="368" t="str">
        <f>IF(RawMaterials[[#This Row],[Material Type]]="Metal Precursor","D13",IF(RawMaterials[[#This Row],[Material Type]]="Ligand","D13","D12"))</f>
        <v>D12</v>
      </c>
      <c r="AI259" s="369" t="str">
        <f ca="1">IF(RawMaterials[[#This Row],[Lab Quote Count]]&gt;1,10^RawMaterials[[#This Row],[Lab Log-Log Intercept]]*INDIRECT(RawMaterials[[#This Row],[Basis Cell]])^RawMaterials[[#This Row],[Lab Log-Log Slope]],"&gt;&gt;&gt; Enter 2 or more lab quotes &lt;&lt;&lt;")</f>
        <v>&gt;&gt;&gt; Enter 2 or more lab quotes &lt;&lt;&lt;</v>
      </c>
      <c r="AJ2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22.6796185</v>
      </c>
      <c r="AL259" s="372">
        <f>IF(ISTEXT(RawMaterials[[#This Row],[Unit price in quote year]]),"Check calcs",RawMaterials[[#This Row],[Unit price in quote year]]/VLOOKUP(RawMaterials[[#This Row],[Quote Year]],ChemPPI[],14,FALSE)*VLOOKUP(BasisYear,ChemPPI[],14,FALSE))</f>
        <v>30.781128563770331</v>
      </c>
      <c r="AM259" s="373" t="str">
        <f t="shared" si="3"/>
        <v>$/lb (2016)</v>
      </c>
    </row>
    <row r="260" spans="1:39">
      <c r="A260" s="263" t="s">
        <v>1362</v>
      </c>
      <c r="B260" s="264"/>
      <c r="C260" s="271"/>
      <c r="D260" s="365"/>
      <c r="E260" s="264">
        <v>100</v>
      </c>
      <c r="F260" s="264"/>
      <c r="G260" s="271"/>
      <c r="H260" s="271"/>
      <c r="I260" s="268"/>
      <c r="J260" s="271"/>
      <c r="K260" s="271"/>
      <c r="L260" s="271"/>
      <c r="M260" s="271"/>
      <c r="N260" s="271"/>
      <c r="O260" s="271"/>
      <c r="P260" s="265">
        <v>0.625</v>
      </c>
      <c r="Q260" s="264">
        <v>1</v>
      </c>
      <c r="R260" s="264" t="s">
        <v>20</v>
      </c>
      <c r="S260" s="264">
        <v>2006</v>
      </c>
      <c r="T260" s="266" t="s">
        <v>163</v>
      </c>
      <c r="U260" s="267">
        <v>42653</v>
      </c>
      <c r="V260" s="269"/>
      <c r="W260" s="366">
        <f>COUNT(RawMaterials[[#This Row],[Lab Quantity 1]:[Lab Quantity 4]])</f>
        <v>0</v>
      </c>
      <c r="X2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0" s="367" t="e">
        <f>RawMaterials[[#This Row],[Lab Price 1]]/RawMaterials[[#This Row],[Lab Q Model Units 1]]</f>
        <v>#N/A</v>
      </c>
      <c r="AC260" s="367" t="e">
        <f>RawMaterials[[#This Row],[Lab Price 2]]/RawMaterials[[#This Row],[Lab Q Model Units 2]]</f>
        <v>#N/A</v>
      </c>
      <c r="AD260" s="367" t="e">
        <f>RawMaterials[[#This Row],[Lab Price 3]]/RawMaterials[[#This Row],[Lab Q Model Units 3]]</f>
        <v>#N/A</v>
      </c>
      <c r="AE260" s="367" t="e">
        <f>RawMaterials[[#This Row],[Lab Price 4]]/RawMaterials[[#This Row],[Lab Q Model Units 4]]</f>
        <v>#N/A</v>
      </c>
      <c r="AF260" s="367" t="str">
        <f ca="1">IF(RawMaterials[[#This Row],[Lab Quote Count]]&gt;1,SLOPE(LOG(INDIRECT("RawMaterials[@[Lab Unit P 1]:[Lab Unit P "&amp;RawMaterials[[#This Row],[Lab Quote Count]]&amp;"]]")),LOG(INDIRECT("RawMaterials[@[Lab Q Model Units 1]:[Lab Q Model Units "&amp;RawMaterials[[#This Row],[Lab Quote Count]]&amp;"]]"))),"")</f>
        <v/>
      </c>
      <c r="AG260" s="367" t="str">
        <f ca="1">IF(RawMaterials[[#This Row],[Lab Quote Count]]&gt;1,INTERCEPT(LOG(INDIRECT("RawMaterials[@[Lab Unit P 1]:[Lab Unit P "&amp;RawMaterials[[#This Row],[Lab Quote Count]]&amp;"]]")),LOG(INDIRECT("RawMaterials[@[Lab Q Model Units 1]:[Lab Q Model Units "&amp;RawMaterials[[#This Row],[Lab Quote Count]]&amp;"]]"))),"")</f>
        <v/>
      </c>
      <c r="AH260" s="368" t="str">
        <f>IF(RawMaterials[[#This Row],[Material Type]]="Metal Precursor","D13",IF(RawMaterials[[#This Row],[Material Type]]="Ligand","D13","D12"))</f>
        <v>D12</v>
      </c>
      <c r="AI260" s="369" t="str">
        <f ca="1">IF(RawMaterials[[#This Row],[Lab Quote Count]]&gt;1,10^RawMaterials[[#This Row],[Lab Log-Log Intercept]]*INDIRECT(RawMaterials[[#This Row],[Basis Cell]])^RawMaterials[[#This Row],[Lab Log-Log Slope]],"&gt;&gt;&gt; Enter 2 or more lab quotes &lt;&lt;&lt;")</f>
        <v>&gt;&gt;&gt; Enter 2 or more lab quotes &lt;&lt;&lt;</v>
      </c>
      <c r="AJ2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60" s="372">
        <f>IF(ISTEXT(RawMaterials[[#This Row],[Unit price in quote year]]),"Check calcs",RawMaterials[[#This Row],[Unit price in quote year]]/VLOOKUP(RawMaterials[[#This Row],[Quote Year]],ChemPPI[],14,FALSE)*VLOOKUP(BasisYear,ChemPPI[],14,FALSE))</f>
        <v>0.84825965447154483</v>
      </c>
      <c r="AM260" s="373" t="str">
        <f t="shared" si="3"/>
        <v>$/lb (2016)</v>
      </c>
    </row>
    <row r="261" spans="1:39">
      <c r="A261" s="263" t="s">
        <v>1363</v>
      </c>
      <c r="B261" s="264"/>
      <c r="C261" s="271"/>
      <c r="D261" s="365"/>
      <c r="E261" s="264">
        <v>100</v>
      </c>
      <c r="F261" s="264"/>
      <c r="G261" s="271"/>
      <c r="H261" s="271"/>
      <c r="I261" s="268"/>
      <c r="J261" s="271"/>
      <c r="K261" s="271"/>
      <c r="L261" s="271"/>
      <c r="M261" s="271"/>
      <c r="N261" s="271"/>
      <c r="O261" s="271"/>
      <c r="P261" s="265">
        <v>0.75</v>
      </c>
      <c r="Q261" s="264">
        <v>1</v>
      </c>
      <c r="R261" s="264" t="s">
        <v>20</v>
      </c>
      <c r="S261" s="264">
        <v>2006</v>
      </c>
      <c r="T261" s="266" t="s">
        <v>163</v>
      </c>
      <c r="U261" s="267">
        <v>42653</v>
      </c>
      <c r="V261" s="269"/>
      <c r="W261" s="366">
        <f>COUNT(RawMaterials[[#This Row],[Lab Quantity 1]:[Lab Quantity 4]])</f>
        <v>0</v>
      </c>
      <c r="X2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1" s="367" t="e">
        <f>RawMaterials[[#This Row],[Lab Price 1]]/RawMaterials[[#This Row],[Lab Q Model Units 1]]</f>
        <v>#N/A</v>
      </c>
      <c r="AC261" s="367" t="e">
        <f>RawMaterials[[#This Row],[Lab Price 2]]/RawMaterials[[#This Row],[Lab Q Model Units 2]]</f>
        <v>#N/A</v>
      </c>
      <c r="AD261" s="367" t="e">
        <f>RawMaterials[[#This Row],[Lab Price 3]]/RawMaterials[[#This Row],[Lab Q Model Units 3]]</f>
        <v>#N/A</v>
      </c>
      <c r="AE261" s="367" t="e">
        <f>RawMaterials[[#This Row],[Lab Price 4]]/RawMaterials[[#This Row],[Lab Q Model Units 4]]</f>
        <v>#N/A</v>
      </c>
      <c r="AF261" s="367" t="str">
        <f ca="1">IF(RawMaterials[[#This Row],[Lab Quote Count]]&gt;1,SLOPE(LOG(INDIRECT("RawMaterials[@[Lab Unit P 1]:[Lab Unit P "&amp;RawMaterials[[#This Row],[Lab Quote Count]]&amp;"]]")),LOG(INDIRECT("RawMaterials[@[Lab Q Model Units 1]:[Lab Q Model Units "&amp;RawMaterials[[#This Row],[Lab Quote Count]]&amp;"]]"))),"")</f>
        <v/>
      </c>
      <c r="AG261" s="367" t="str">
        <f ca="1">IF(RawMaterials[[#This Row],[Lab Quote Count]]&gt;1,INTERCEPT(LOG(INDIRECT("RawMaterials[@[Lab Unit P 1]:[Lab Unit P "&amp;RawMaterials[[#This Row],[Lab Quote Count]]&amp;"]]")),LOG(INDIRECT("RawMaterials[@[Lab Q Model Units 1]:[Lab Q Model Units "&amp;RawMaterials[[#This Row],[Lab Quote Count]]&amp;"]]"))),"")</f>
        <v/>
      </c>
      <c r="AH261" s="368" t="str">
        <f>IF(RawMaterials[[#This Row],[Material Type]]="Metal Precursor","D13",IF(RawMaterials[[#This Row],[Material Type]]="Ligand","D13","D12"))</f>
        <v>D12</v>
      </c>
      <c r="AI261" s="369" t="str">
        <f ca="1">IF(RawMaterials[[#This Row],[Lab Quote Count]]&gt;1,10^RawMaterials[[#This Row],[Lab Log-Log Intercept]]*INDIRECT(RawMaterials[[#This Row],[Basis Cell]])^RawMaterials[[#This Row],[Lab Log-Log Slope]],"&gt;&gt;&gt; Enter 2 or more lab quotes &lt;&lt;&lt;")</f>
        <v>&gt;&gt;&gt; Enter 2 or more lab quotes &lt;&lt;&lt;</v>
      </c>
      <c r="AJ2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0.75</v>
      </c>
      <c r="AL261" s="372">
        <f>IF(ISTEXT(RawMaterials[[#This Row],[Unit price in quote year]]),"Check calcs",RawMaterials[[#This Row],[Unit price in quote year]]/VLOOKUP(RawMaterials[[#This Row],[Quote Year]],ChemPPI[],14,FALSE)*VLOOKUP(BasisYear,ChemPPI[],14,FALSE))</f>
        <v>1.0179115853658538</v>
      </c>
      <c r="AM261" s="373" t="str">
        <f t="shared" si="3"/>
        <v>$/lb (2016)</v>
      </c>
    </row>
    <row r="262" spans="1:39">
      <c r="A262" s="263" t="s">
        <v>1364</v>
      </c>
      <c r="B262" s="264"/>
      <c r="C262" s="271"/>
      <c r="D262" s="365"/>
      <c r="E262" s="264">
        <v>100</v>
      </c>
      <c r="F262" s="264"/>
      <c r="G262" s="271"/>
      <c r="H262" s="271"/>
      <c r="I262" s="268"/>
      <c r="J262" s="271"/>
      <c r="K262" s="271"/>
      <c r="L262" s="271"/>
      <c r="M262" s="271"/>
      <c r="N262" s="271"/>
      <c r="O262" s="271"/>
      <c r="P262" s="265">
        <v>0.78499999999999903</v>
      </c>
      <c r="Q262" s="264">
        <v>1</v>
      </c>
      <c r="R262" s="264" t="s">
        <v>20</v>
      </c>
      <c r="S262" s="264">
        <v>2006</v>
      </c>
      <c r="T262" s="266" t="s">
        <v>163</v>
      </c>
      <c r="U262" s="267">
        <v>42653</v>
      </c>
      <c r="V262" s="269"/>
      <c r="W262" s="366">
        <f>COUNT(RawMaterials[[#This Row],[Lab Quantity 1]:[Lab Quantity 4]])</f>
        <v>0</v>
      </c>
      <c r="X2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2" s="367" t="e">
        <f>RawMaterials[[#This Row],[Lab Price 1]]/RawMaterials[[#This Row],[Lab Q Model Units 1]]</f>
        <v>#N/A</v>
      </c>
      <c r="AC262" s="367" t="e">
        <f>RawMaterials[[#This Row],[Lab Price 2]]/RawMaterials[[#This Row],[Lab Q Model Units 2]]</f>
        <v>#N/A</v>
      </c>
      <c r="AD262" s="367" t="e">
        <f>RawMaterials[[#This Row],[Lab Price 3]]/RawMaterials[[#This Row],[Lab Q Model Units 3]]</f>
        <v>#N/A</v>
      </c>
      <c r="AE262" s="367" t="e">
        <f>RawMaterials[[#This Row],[Lab Price 4]]/RawMaterials[[#This Row],[Lab Q Model Units 4]]</f>
        <v>#N/A</v>
      </c>
      <c r="AF262" s="367" t="str">
        <f ca="1">IF(RawMaterials[[#This Row],[Lab Quote Count]]&gt;1,SLOPE(LOG(INDIRECT("RawMaterials[@[Lab Unit P 1]:[Lab Unit P "&amp;RawMaterials[[#This Row],[Lab Quote Count]]&amp;"]]")),LOG(INDIRECT("RawMaterials[@[Lab Q Model Units 1]:[Lab Q Model Units "&amp;RawMaterials[[#This Row],[Lab Quote Count]]&amp;"]]"))),"")</f>
        <v/>
      </c>
      <c r="AG262" s="367" t="str">
        <f ca="1">IF(RawMaterials[[#This Row],[Lab Quote Count]]&gt;1,INTERCEPT(LOG(INDIRECT("RawMaterials[@[Lab Unit P 1]:[Lab Unit P "&amp;RawMaterials[[#This Row],[Lab Quote Count]]&amp;"]]")),LOG(INDIRECT("RawMaterials[@[Lab Q Model Units 1]:[Lab Q Model Units "&amp;RawMaterials[[#This Row],[Lab Quote Count]]&amp;"]]"))),"")</f>
        <v/>
      </c>
      <c r="AH262" s="368" t="str">
        <f>IF(RawMaterials[[#This Row],[Material Type]]="Metal Precursor","D13",IF(RawMaterials[[#This Row],[Material Type]]="Ligand","D13","D12"))</f>
        <v>D12</v>
      </c>
      <c r="AI262" s="369" t="str">
        <f ca="1">IF(RawMaterials[[#This Row],[Lab Quote Count]]&gt;1,10^RawMaterials[[#This Row],[Lab Log-Log Intercept]]*INDIRECT(RawMaterials[[#This Row],[Basis Cell]])^RawMaterials[[#This Row],[Lab Log-Log Slope]],"&gt;&gt;&gt; Enter 2 or more lab quotes &lt;&lt;&lt;")</f>
        <v>&gt;&gt;&gt; Enter 2 or more lab quotes &lt;&lt;&lt;</v>
      </c>
      <c r="AJ2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262" s="372">
        <f>IF(ISTEXT(RawMaterials[[#This Row],[Unit price in quote year]]),"Check calcs",RawMaterials[[#This Row],[Unit price in quote year]]/VLOOKUP(RawMaterials[[#This Row],[Quote Year]],ChemPPI[],14,FALSE)*VLOOKUP(BasisYear,ChemPPI[],14,FALSE))</f>
        <v>1.0654141260162591</v>
      </c>
      <c r="AM262" s="373" t="str">
        <f t="shared" si="3"/>
        <v>$/lb (2016)</v>
      </c>
    </row>
    <row r="263" spans="1:39">
      <c r="A263" s="263" t="s">
        <v>1365</v>
      </c>
      <c r="B263" s="264"/>
      <c r="C263" s="271"/>
      <c r="D263" s="365"/>
      <c r="E263" s="264">
        <v>100</v>
      </c>
      <c r="F263" s="264"/>
      <c r="G263" s="271"/>
      <c r="H263" s="271"/>
      <c r="I263" s="268"/>
      <c r="J263" s="271"/>
      <c r="K263" s="271"/>
      <c r="L263" s="271"/>
      <c r="M263" s="271"/>
      <c r="N263" s="271"/>
      <c r="O263" s="271"/>
      <c r="P263" s="265">
        <v>0.25</v>
      </c>
      <c r="Q263" s="264">
        <v>1</v>
      </c>
      <c r="R263" s="264" t="s">
        <v>20</v>
      </c>
      <c r="S263" s="264">
        <v>2006</v>
      </c>
      <c r="T263" s="266" t="s">
        <v>163</v>
      </c>
      <c r="U263" s="267">
        <v>42653</v>
      </c>
      <c r="V263" s="269"/>
      <c r="W263" s="366">
        <f>COUNT(RawMaterials[[#This Row],[Lab Quantity 1]:[Lab Quantity 4]])</f>
        <v>0</v>
      </c>
      <c r="X2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3" s="367" t="e">
        <f>RawMaterials[[#This Row],[Lab Price 1]]/RawMaterials[[#This Row],[Lab Q Model Units 1]]</f>
        <v>#N/A</v>
      </c>
      <c r="AC263" s="367" t="e">
        <f>RawMaterials[[#This Row],[Lab Price 2]]/RawMaterials[[#This Row],[Lab Q Model Units 2]]</f>
        <v>#N/A</v>
      </c>
      <c r="AD263" s="367" t="e">
        <f>RawMaterials[[#This Row],[Lab Price 3]]/RawMaterials[[#This Row],[Lab Q Model Units 3]]</f>
        <v>#N/A</v>
      </c>
      <c r="AE263" s="367" t="e">
        <f>RawMaterials[[#This Row],[Lab Price 4]]/RawMaterials[[#This Row],[Lab Q Model Units 4]]</f>
        <v>#N/A</v>
      </c>
      <c r="AF263" s="367" t="str">
        <f ca="1">IF(RawMaterials[[#This Row],[Lab Quote Count]]&gt;1,SLOPE(LOG(INDIRECT("RawMaterials[@[Lab Unit P 1]:[Lab Unit P "&amp;RawMaterials[[#This Row],[Lab Quote Count]]&amp;"]]")),LOG(INDIRECT("RawMaterials[@[Lab Q Model Units 1]:[Lab Q Model Units "&amp;RawMaterials[[#This Row],[Lab Quote Count]]&amp;"]]"))),"")</f>
        <v/>
      </c>
      <c r="AG263" s="367" t="str">
        <f ca="1">IF(RawMaterials[[#This Row],[Lab Quote Count]]&gt;1,INTERCEPT(LOG(INDIRECT("RawMaterials[@[Lab Unit P 1]:[Lab Unit P "&amp;RawMaterials[[#This Row],[Lab Quote Count]]&amp;"]]")),LOG(INDIRECT("RawMaterials[@[Lab Q Model Units 1]:[Lab Q Model Units "&amp;RawMaterials[[#This Row],[Lab Quote Count]]&amp;"]]"))),"")</f>
        <v/>
      </c>
      <c r="AH263" s="368" t="str">
        <f>IF(RawMaterials[[#This Row],[Material Type]]="Metal Precursor","D13",IF(RawMaterials[[#This Row],[Material Type]]="Ligand","D13","D12"))</f>
        <v>D12</v>
      </c>
      <c r="AI263" s="369" t="str">
        <f ca="1">IF(RawMaterials[[#This Row],[Lab Quote Count]]&gt;1,10^RawMaterials[[#This Row],[Lab Log-Log Intercept]]*INDIRECT(RawMaterials[[#This Row],[Basis Cell]])^RawMaterials[[#This Row],[Lab Log-Log Slope]],"&gt;&gt;&gt; Enter 2 or more lab quotes &lt;&lt;&lt;")</f>
        <v>&gt;&gt;&gt; Enter 2 or more lab quotes &lt;&lt;&lt;</v>
      </c>
      <c r="AJ2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263" s="372">
        <f>IF(ISTEXT(RawMaterials[[#This Row],[Unit price in quote year]]),"Check calcs",RawMaterials[[#This Row],[Unit price in quote year]]/VLOOKUP(RawMaterials[[#This Row],[Quote Year]],ChemPPI[],14,FALSE)*VLOOKUP(BasisYear,ChemPPI[],14,FALSE))</f>
        <v>0.33930386178861799</v>
      </c>
      <c r="AM263" s="373" t="str">
        <f t="shared" si="3"/>
        <v>$/lb (2016)</v>
      </c>
    </row>
    <row r="264" spans="1:39">
      <c r="A264" s="263" t="s">
        <v>1366</v>
      </c>
      <c r="B264" s="264"/>
      <c r="C264" s="271"/>
      <c r="D264" s="365"/>
      <c r="E264" s="264">
        <v>100</v>
      </c>
      <c r="F264" s="264"/>
      <c r="G264" s="271"/>
      <c r="H264" s="271"/>
      <c r="I264" s="268"/>
      <c r="J264" s="271"/>
      <c r="K264" s="271"/>
      <c r="L264" s="271"/>
      <c r="M264" s="271"/>
      <c r="N264" s="271"/>
      <c r="O264" s="271"/>
      <c r="P264" s="265">
        <v>0.62</v>
      </c>
      <c r="Q264" s="264">
        <v>1</v>
      </c>
      <c r="R264" s="264" t="s">
        <v>20</v>
      </c>
      <c r="S264" s="264">
        <v>2006</v>
      </c>
      <c r="T264" s="266" t="s">
        <v>163</v>
      </c>
      <c r="U264" s="267">
        <v>42653</v>
      </c>
      <c r="V264" s="269"/>
      <c r="W264" s="366">
        <f>COUNT(RawMaterials[[#This Row],[Lab Quantity 1]:[Lab Quantity 4]])</f>
        <v>0</v>
      </c>
      <c r="X2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4" s="367" t="e">
        <f>RawMaterials[[#This Row],[Lab Price 1]]/RawMaterials[[#This Row],[Lab Q Model Units 1]]</f>
        <v>#N/A</v>
      </c>
      <c r="AC264" s="367" t="e">
        <f>RawMaterials[[#This Row],[Lab Price 2]]/RawMaterials[[#This Row],[Lab Q Model Units 2]]</f>
        <v>#N/A</v>
      </c>
      <c r="AD264" s="367" t="e">
        <f>RawMaterials[[#This Row],[Lab Price 3]]/RawMaterials[[#This Row],[Lab Q Model Units 3]]</f>
        <v>#N/A</v>
      </c>
      <c r="AE264" s="367" t="e">
        <f>RawMaterials[[#This Row],[Lab Price 4]]/RawMaterials[[#This Row],[Lab Q Model Units 4]]</f>
        <v>#N/A</v>
      </c>
      <c r="AF264" s="367" t="str">
        <f ca="1">IF(RawMaterials[[#This Row],[Lab Quote Count]]&gt;1,SLOPE(LOG(INDIRECT("RawMaterials[@[Lab Unit P 1]:[Lab Unit P "&amp;RawMaterials[[#This Row],[Lab Quote Count]]&amp;"]]")),LOG(INDIRECT("RawMaterials[@[Lab Q Model Units 1]:[Lab Q Model Units "&amp;RawMaterials[[#This Row],[Lab Quote Count]]&amp;"]]"))),"")</f>
        <v/>
      </c>
      <c r="AG264" s="367" t="str">
        <f ca="1">IF(RawMaterials[[#This Row],[Lab Quote Count]]&gt;1,INTERCEPT(LOG(INDIRECT("RawMaterials[@[Lab Unit P 1]:[Lab Unit P "&amp;RawMaterials[[#This Row],[Lab Quote Count]]&amp;"]]")),LOG(INDIRECT("RawMaterials[@[Lab Q Model Units 1]:[Lab Q Model Units "&amp;RawMaterials[[#This Row],[Lab Quote Count]]&amp;"]]"))),"")</f>
        <v/>
      </c>
      <c r="AH264" s="368" t="str">
        <f>IF(RawMaterials[[#This Row],[Material Type]]="Metal Precursor","D13",IF(RawMaterials[[#This Row],[Material Type]]="Ligand","D13","D12"))</f>
        <v>D12</v>
      </c>
      <c r="AI264" s="369" t="str">
        <f ca="1">IF(RawMaterials[[#This Row],[Lab Quote Count]]&gt;1,10^RawMaterials[[#This Row],[Lab Log-Log Intercept]]*INDIRECT(RawMaterials[[#This Row],[Basis Cell]])^RawMaterials[[#This Row],[Lab Log-Log Slope]],"&gt;&gt;&gt; Enter 2 or more lab quotes &lt;&lt;&lt;")</f>
        <v>&gt;&gt;&gt; Enter 2 or more lab quotes &lt;&lt;&lt;</v>
      </c>
      <c r="AJ2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v>
      </c>
      <c r="AL264" s="372">
        <f>IF(ISTEXT(RawMaterials[[#This Row],[Unit price in quote year]]),"Check calcs",RawMaterials[[#This Row],[Unit price in quote year]]/VLOOKUP(RawMaterials[[#This Row],[Quote Year]],ChemPPI[],14,FALSE)*VLOOKUP(BasisYear,ChemPPI[],14,FALSE))</f>
        <v>0.84147357723577243</v>
      </c>
      <c r="AM264" s="373" t="str">
        <f t="shared" si="3"/>
        <v>$/lb (2016)</v>
      </c>
    </row>
    <row r="265" spans="1:39">
      <c r="A265" s="263" t="s">
        <v>1367</v>
      </c>
      <c r="B265" s="264"/>
      <c r="C265" s="271"/>
      <c r="D265" s="365"/>
      <c r="E265" s="264">
        <v>100</v>
      </c>
      <c r="F265" s="264"/>
      <c r="G265" s="271"/>
      <c r="H265" s="271"/>
      <c r="I265" s="268"/>
      <c r="J265" s="271"/>
      <c r="K265" s="271"/>
      <c r="L265" s="271"/>
      <c r="M265" s="271"/>
      <c r="N265" s="271"/>
      <c r="O265" s="271"/>
      <c r="P265" s="265">
        <v>0.6</v>
      </c>
      <c r="Q265" s="264">
        <v>1</v>
      </c>
      <c r="R265" s="264" t="s">
        <v>20</v>
      </c>
      <c r="S265" s="264">
        <v>2006</v>
      </c>
      <c r="T265" s="266" t="s">
        <v>163</v>
      </c>
      <c r="U265" s="267">
        <v>42653</v>
      </c>
      <c r="V265" s="269"/>
      <c r="W265" s="366">
        <f>COUNT(RawMaterials[[#This Row],[Lab Quantity 1]:[Lab Quantity 4]])</f>
        <v>0</v>
      </c>
      <c r="X2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5" s="367" t="e">
        <f>RawMaterials[[#This Row],[Lab Price 1]]/RawMaterials[[#This Row],[Lab Q Model Units 1]]</f>
        <v>#N/A</v>
      </c>
      <c r="AC265" s="367" t="e">
        <f>RawMaterials[[#This Row],[Lab Price 2]]/RawMaterials[[#This Row],[Lab Q Model Units 2]]</f>
        <v>#N/A</v>
      </c>
      <c r="AD265" s="367" t="e">
        <f>RawMaterials[[#This Row],[Lab Price 3]]/RawMaterials[[#This Row],[Lab Q Model Units 3]]</f>
        <v>#N/A</v>
      </c>
      <c r="AE265" s="367" t="e">
        <f>RawMaterials[[#This Row],[Lab Price 4]]/RawMaterials[[#This Row],[Lab Q Model Units 4]]</f>
        <v>#N/A</v>
      </c>
      <c r="AF265" s="367" t="str">
        <f ca="1">IF(RawMaterials[[#This Row],[Lab Quote Count]]&gt;1,SLOPE(LOG(INDIRECT("RawMaterials[@[Lab Unit P 1]:[Lab Unit P "&amp;RawMaterials[[#This Row],[Lab Quote Count]]&amp;"]]")),LOG(INDIRECT("RawMaterials[@[Lab Q Model Units 1]:[Lab Q Model Units "&amp;RawMaterials[[#This Row],[Lab Quote Count]]&amp;"]]"))),"")</f>
        <v/>
      </c>
      <c r="AG265" s="367" t="str">
        <f ca="1">IF(RawMaterials[[#This Row],[Lab Quote Count]]&gt;1,INTERCEPT(LOG(INDIRECT("RawMaterials[@[Lab Unit P 1]:[Lab Unit P "&amp;RawMaterials[[#This Row],[Lab Quote Count]]&amp;"]]")),LOG(INDIRECT("RawMaterials[@[Lab Q Model Units 1]:[Lab Q Model Units "&amp;RawMaterials[[#This Row],[Lab Quote Count]]&amp;"]]"))),"")</f>
        <v/>
      </c>
      <c r="AH265" s="368" t="str">
        <f>IF(RawMaterials[[#This Row],[Material Type]]="Metal Precursor","D13",IF(RawMaterials[[#This Row],[Material Type]]="Ligand","D13","D12"))</f>
        <v>D12</v>
      </c>
      <c r="AI265" s="369" t="str">
        <f ca="1">IF(RawMaterials[[#This Row],[Lab Quote Count]]&gt;1,10^RawMaterials[[#This Row],[Lab Log-Log Intercept]]*INDIRECT(RawMaterials[[#This Row],[Basis Cell]])^RawMaterials[[#This Row],[Lab Log-Log Slope]],"&gt;&gt;&gt; Enter 2 or more lab quotes &lt;&lt;&lt;")</f>
        <v>&gt;&gt;&gt; Enter 2 or more lab quotes &lt;&lt;&lt;</v>
      </c>
      <c r="AJ2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265" s="372">
        <f>IF(ISTEXT(RawMaterials[[#This Row],[Unit price in quote year]]),"Check calcs",RawMaterials[[#This Row],[Unit price in quote year]]/VLOOKUP(RawMaterials[[#This Row],[Quote Year]],ChemPPI[],14,FALSE)*VLOOKUP(BasisYear,ChemPPI[],14,FALSE))</f>
        <v>0.81432926829268304</v>
      </c>
      <c r="AM265" s="373" t="str">
        <f t="shared" si="3"/>
        <v>$/lb (2016)</v>
      </c>
    </row>
    <row r="266" spans="1:39">
      <c r="A266" s="263" t="s">
        <v>1368</v>
      </c>
      <c r="B266" s="264"/>
      <c r="C266" s="271"/>
      <c r="D266" s="365"/>
      <c r="E266" s="264">
        <v>100</v>
      </c>
      <c r="F266" s="264"/>
      <c r="G266" s="271"/>
      <c r="H266" s="271"/>
      <c r="I266" s="268"/>
      <c r="J266" s="271"/>
      <c r="K266" s="271"/>
      <c r="L266" s="271"/>
      <c r="M266" s="271"/>
      <c r="N266" s="271"/>
      <c r="O266" s="271"/>
      <c r="P266" s="265">
        <v>0.40625</v>
      </c>
      <c r="Q266" s="264">
        <v>1</v>
      </c>
      <c r="R266" s="264" t="s">
        <v>20</v>
      </c>
      <c r="S266" s="264">
        <v>2007</v>
      </c>
      <c r="T266" s="266" t="s">
        <v>163</v>
      </c>
      <c r="U266" s="267">
        <v>42653</v>
      </c>
      <c r="V266" s="269"/>
      <c r="W266" s="366">
        <f>COUNT(RawMaterials[[#This Row],[Lab Quantity 1]:[Lab Quantity 4]])</f>
        <v>0</v>
      </c>
      <c r="X2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6" s="367" t="e">
        <f>RawMaterials[[#This Row],[Lab Price 1]]/RawMaterials[[#This Row],[Lab Q Model Units 1]]</f>
        <v>#N/A</v>
      </c>
      <c r="AC266" s="367" t="e">
        <f>RawMaterials[[#This Row],[Lab Price 2]]/RawMaterials[[#This Row],[Lab Q Model Units 2]]</f>
        <v>#N/A</v>
      </c>
      <c r="AD266" s="367" t="e">
        <f>RawMaterials[[#This Row],[Lab Price 3]]/RawMaterials[[#This Row],[Lab Q Model Units 3]]</f>
        <v>#N/A</v>
      </c>
      <c r="AE266" s="367" t="e">
        <f>RawMaterials[[#This Row],[Lab Price 4]]/RawMaterials[[#This Row],[Lab Q Model Units 4]]</f>
        <v>#N/A</v>
      </c>
      <c r="AF266" s="367" t="str">
        <f ca="1">IF(RawMaterials[[#This Row],[Lab Quote Count]]&gt;1,SLOPE(LOG(INDIRECT("RawMaterials[@[Lab Unit P 1]:[Lab Unit P "&amp;RawMaterials[[#This Row],[Lab Quote Count]]&amp;"]]")),LOG(INDIRECT("RawMaterials[@[Lab Q Model Units 1]:[Lab Q Model Units "&amp;RawMaterials[[#This Row],[Lab Quote Count]]&amp;"]]"))),"")</f>
        <v/>
      </c>
      <c r="AG266" s="367" t="str">
        <f ca="1">IF(RawMaterials[[#This Row],[Lab Quote Count]]&gt;1,INTERCEPT(LOG(INDIRECT("RawMaterials[@[Lab Unit P 1]:[Lab Unit P "&amp;RawMaterials[[#This Row],[Lab Quote Count]]&amp;"]]")),LOG(INDIRECT("RawMaterials[@[Lab Q Model Units 1]:[Lab Q Model Units "&amp;RawMaterials[[#This Row],[Lab Quote Count]]&amp;"]]"))),"")</f>
        <v/>
      </c>
      <c r="AH266" s="368" t="str">
        <f>IF(RawMaterials[[#This Row],[Material Type]]="Metal Precursor","D13",IF(RawMaterials[[#This Row],[Material Type]]="Ligand","D13","D12"))</f>
        <v>D12</v>
      </c>
      <c r="AI266" s="369" t="str">
        <f ca="1">IF(RawMaterials[[#This Row],[Lab Quote Count]]&gt;1,10^RawMaterials[[#This Row],[Lab Log-Log Intercept]]*INDIRECT(RawMaterials[[#This Row],[Basis Cell]])^RawMaterials[[#This Row],[Lab Log-Log Slope]],"&gt;&gt;&gt; Enter 2 or more lab quotes &lt;&lt;&lt;")</f>
        <v>&gt;&gt;&gt; Enter 2 or more lab quotes &lt;&lt;&lt;</v>
      </c>
      <c r="AJ2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0.40625</v>
      </c>
      <c r="AL266" s="372">
        <f>IF(ISTEXT(RawMaterials[[#This Row],[Unit price in quote year]]),"Check calcs",RawMaterials[[#This Row],[Unit price in quote year]]/VLOOKUP(RawMaterials[[#This Row],[Quote Year]],ChemPPI[],14,FALSE)*VLOOKUP(BasisYear,ChemPPI[],14,FALSE))</f>
        <v>0.5336307938199254</v>
      </c>
      <c r="AM266" s="373" t="str">
        <f t="shared" si="3"/>
        <v>$/lb (2016)</v>
      </c>
    </row>
    <row r="267" spans="1:39">
      <c r="A267" s="263" t="s">
        <v>1369</v>
      </c>
      <c r="B267" s="264"/>
      <c r="C267" s="271"/>
      <c r="D267" s="365"/>
      <c r="E267" s="264">
        <v>100</v>
      </c>
      <c r="F267" s="264"/>
      <c r="G267" s="271"/>
      <c r="H267" s="271"/>
      <c r="I267" s="268"/>
      <c r="J267" s="271"/>
      <c r="K267" s="271"/>
      <c r="L267" s="271"/>
      <c r="M267" s="271"/>
      <c r="N267" s="271"/>
      <c r="O267" s="271"/>
      <c r="P267" s="265">
        <v>0.68500000000000005</v>
      </c>
      <c r="Q267" s="264">
        <v>1</v>
      </c>
      <c r="R267" s="264" t="s">
        <v>20</v>
      </c>
      <c r="S267" s="264">
        <v>2006</v>
      </c>
      <c r="T267" s="266" t="s">
        <v>163</v>
      </c>
      <c r="U267" s="267">
        <v>42653</v>
      </c>
      <c r="V267" s="269"/>
      <c r="W267" s="366">
        <f>COUNT(RawMaterials[[#This Row],[Lab Quantity 1]:[Lab Quantity 4]])</f>
        <v>0</v>
      </c>
      <c r="X2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7" s="367" t="e">
        <f>RawMaterials[[#This Row],[Lab Price 1]]/RawMaterials[[#This Row],[Lab Q Model Units 1]]</f>
        <v>#N/A</v>
      </c>
      <c r="AC267" s="367" t="e">
        <f>RawMaterials[[#This Row],[Lab Price 2]]/RawMaterials[[#This Row],[Lab Q Model Units 2]]</f>
        <v>#N/A</v>
      </c>
      <c r="AD267" s="367" t="e">
        <f>RawMaterials[[#This Row],[Lab Price 3]]/RawMaterials[[#This Row],[Lab Q Model Units 3]]</f>
        <v>#N/A</v>
      </c>
      <c r="AE267" s="367" t="e">
        <f>RawMaterials[[#This Row],[Lab Price 4]]/RawMaterials[[#This Row],[Lab Q Model Units 4]]</f>
        <v>#N/A</v>
      </c>
      <c r="AF267" s="367" t="str">
        <f ca="1">IF(RawMaterials[[#This Row],[Lab Quote Count]]&gt;1,SLOPE(LOG(INDIRECT("RawMaterials[@[Lab Unit P 1]:[Lab Unit P "&amp;RawMaterials[[#This Row],[Lab Quote Count]]&amp;"]]")),LOG(INDIRECT("RawMaterials[@[Lab Q Model Units 1]:[Lab Q Model Units "&amp;RawMaterials[[#This Row],[Lab Quote Count]]&amp;"]]"))),"")</f>
        <v/>
      </c>
      <c r="AG267" s="367" t="str">
        <f ca="1">IF(RawMaterials[[#This Row],[Lab Quote Count]]&gt;1,INTERCEPT(LOG(INDIRECT("RawMaterials[@[Lab Unit P 1]:[Lab Unit P "&amp;RawMaterials[[#This Row],[Lab Quote Count]]&amp;"]]")),LOG(INDIRECT("RawMaterials[@[Lab Q Model Units 1]:[Lab Q Model Units "&amp;RawMaterials[[#This Row],[Lab Quote Count]]&amp;"]]"))),"")</f>
        <v/>
      </c>
      <c r="AH267" s="368" t="str">
        <f>IF(RawMaterials[[#This Row],[Material Type]]="Metal Precursor","D13",IF(RawMaterials[[#This Row],[Material Type]]="Ligand","D13","D12"))</f>
        <v>D12</v>
      </c>
      <c r="AI267" s="369" t="str">
        <f ca="1">IF(RawMaterials[[#This Row],[Lab Quote Count]]&gt;1,10^RawMaterials[[#This Row],[Lab Log-Log Intercept]]*INDIRECT(RawMaterials[[#This Row],[Basis Cell]])^RawMaterials[[#This Row],[Lab Log-Log Slope]],"&gt;&gt;&gt; Enter 2 or more lab quotes &lt;&lt;&lt;")</f>
        <v>&gt;&gt;&gt; Enter 2 or more lab quotes &lt;&lt;&lt;</v>
      </c>
      <c r="AJ2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267" s="372">
        <f>IF(ISTEXT(RawMaterials[[#This Row],[Unit price in quote year]]),"Check calcs",RawMaterials[[#This Row],[Unit price in quote year]]/VLOOKUP(RawMaterials[[#This Row],[Quote Year]],ChemPPI[],14,FALSE)*VLOOKUP(BasisYear,ChemPPI[],14,FALSE))</f>
        <v>0.92969258130081323</v>
      </c>
      <c r="AM267" s="373" t="str">
        <f t="shared" si="3"/>
        <v>$/lb (2016)</v>
      </c>
    </row>
    <row r="268" spans="1:39">
      <c r="A268" s="263" t="s">
        <v>1370</v>
      </c>
      <c r="B268" s="264"/>
      <c r="C268" s="271"/>
      <c r="D268" s="365"/>
      <c r="E268" s="264">
        <v>100</v>
      </c>
      <c r="F268" s="264"/>
      <c r="G268" s="271"/>
      <c r="H268" s="271"/>
      <c r="I268" s="268"/>
      <c r="J268" s="271"/>
      <c r="K268" s="271"/>
      <c r="L268" s="271"/>
      <c r="M268" s="271"/>
      <c r="N268" s="271"/>
      <c r="O268" s="271"/>
      <c r="P268" s="265">
        <v>0.65999999999999903</v>
      </c>
      <c r="Q268" s="264">
        <v>1</v>
      </c>
      <c r="R268" s="264" t="s">
        <v>20</v>
      </c>
      <c r="S268" s="264">
        <v>2006</v>
      </c>
      <c r="T268" s="266" t="s">
        <v>163</v>
      </c>
      <c r="U268" s="267">
        <v>42653</v>
      </c>
      <c r="V268" s="269"/>
      <c r="W268" s="366">
        <f>COUNT(RawMaterials[[#This Row],[Lab Quantity 1]:[Lab Quantity 4]])</f>
        <v>0</v>
      </c>
      <c r="X2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8" s="367" t="e">
        <f>RawMaterials[[#This Row],[Lab Price 1]]/RawMaterials[[#This Row],[Lab Q Model Units 1]]</f>
        <v>#N/A</v>
      </c>
      <c r="AC268" s="367" t="e">
        <f>RawMaterials[[#This Row],[Lab Price 2]]/RawMaterials[[#This Row],[Lab Q Model Units 2]]</f>
        <v>#N/A</v>
      </c>
      <c r="AD268" s="367" t="e">
        <f>RawMaterials[[#This Row],[Lab Price 3]]/RawMaterials[[#This Row],[Lab Q Model Units 3]]</f>
        <v>#N/A</v>
      </c>
      <c r="AE268" s="367" t="e">
        <f>RawMaterials[[#This Row],[Lab Price 4]]/RawMaterials[[#This Row],[Lab Q Model Units 4]]</f>
        <v>#N/A</v>
      </c>
      <c r="AF268" s="367" t="str">
        <f ca="1">IF(RawMaterials[[#This Row],[Lab Quote Count]]&gt;1,SLOPE(LOG(INDIRECT("RawMaterials[@[Lab Unit P 1]:[Lab Unit P "&amp;RawMaterials[[#This Row],[Lab Quote Count]]&amp;"]]")),LOG(INDIRECT("RawMaterials[@[Lab Q Model Units 1]:[Lab Q Model Units "&amp;RawMaterials[[#This Row],[Lab Quote Count]]&amp;"]]"))),"")</f>
        <v/>
      </c>
      <c r="AG268" s="367" t="str">
        <f ca="1">IF(RawMaterials[[#This Row],[Lab Quote Count]]&gt;1,INTERCEPT(LOG(INDIRECT("RawMaterials[@[Lab Unit P 1]:[Lab Unit P "&amp;RawMaterials[[#This Row],[Lab Quote Count]]&amp;"]]")),LOG(INDIRECT("RawMaterials[@[Lab Q Model Units 1]:[Lab Q Model Units "&amp;RawMaterials[[#This Row],[Lab Quote Count]]&amp;"]]"))),"")</f>
        <v/>
      </c>
      <c r="AH268" s="368" t="str">
        <f>IF(RawMaterials[[#This Row],[Material Type]]="Metal Precursor","D13",IF(RawMaterials[[#This Row],[Material Type]]="Ligand","D13","D12"))</f>
        <v>D12</v>
      </c>
      <c r="AI268" s="369" t="str">
        <f ca="1">IF(RawMaterials[[#This Row],[Lab Quote Count]]&gt;1,10^RawMaterials[[#This Row],[Lab Log-Log Intercept]]*INDIRECT(RawMaterials[[#This Row],[Basis Cell]])^RawMaterials[[#This Row],[Lab Log-Log Slope]],"&gt;&gt;&gt; Enter 2 or more lab quotes &lt;&lt;&lt;")</f>
        <v>&gt;&gt;&gt; Enter 2 or more lab quotes &lt;&lt;&lt;</v>
      </c>
      <c r="AJ2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0.65999999999999903</v>
      </c>
      <c r="AL268" s="372">
        <f>IF(ISTEXT(RawMaterials[[#This Row],[Unit price in quote year]]),"Check calcs",RawMaterials[[#This Row],[Unit price in quote year]]/VLOOKUP(RawMaterials[[#This Row],[Quote Year]],ChemPPI[],14,FALSE)*VLOOKUP(BasisYear,ChemPPI[],14,FALSE))</f>
        <v>0.89576219512194999</v>
      </c>
      <c r="AM268" s="373" t="str">
        <f t="shared" si="3"/>
        <v>$/lb (2016)</v>
      </c>
    </row>
    <row r="269" spans="1:39">
      <c r="A269" s="263" t="s">
        <v>1371</v>
      </c>
      <c r="B269" s="264"/>
      <c r="C269" s="271"/>
      <c r="D269" s="365"/>
      <c r="E269" s="264">
        <v>100</v>
      </c>
      <c r="F269" s="264"/>
      <c r="G269" s="271"/>
      <c r="H269" s="271"/>
      <c r="I269" s="268"/>
      <c r="J269" s="271"/>
      <c r="K269" s="271"/>
      <c r="L269" s="271"/>
      <c r="M269" s="271"/>
      <c r="N269" s="271"/>
      <c r="O269" s="271"/>
      <c r="P269" s="265">
        <v>70</v>
      </c>
      <c r="Q269" s="264">
        <v>1</v>
      </c>
      <c r="R269" s="264" t="s">
        <v>406</v>
      </c>
      <c r="S269" s="264">
        <v>2006</v>
      </c>
      <c r="T269" s="266" t="s">
        <v>163</v>
      </c>
      <c r="U269" s="267">
        <v>42653</v>
      </c>
      <c r="V269" s="269"/>
      <c r="W269" s="366">
        <f>COUNT(RawMaterials[[#This Row],[Lab Quantity 1]:[Lab Quantity 4]])</f>
        <v>0</v>
      </c>
      <c r="X2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69" s="367" t="e">
        <f>RawMaterials[[#This Row],[Lab Price 1]]/RawMaterials[[#This Row],[Lab Q Model Units 1]]</f>
        <v>#N/A</v>
      </c>
      <c r="AC269" s="367" t="e">
        <f>RawMaterials[[#This Row],[Lab Price 2]]/RawMaterials[[#This Row],[Lab Q Model Units 2]]</f>
        <v>#N/A</v>
      </c>
      <c r="AD269" s="367" t="e">
        <f>RawMaterials[[#This Row],[Lab Price 3]]/RawMaterials[[#This Row],[Lab Q Model Units 3]]</f>
        <v>#N/A</v>
      </c>
      <c r="AE269" s="367" t="e">
        <f>RawMaterials[[#This Row],[Lab Price 4]]/RawMaterials[[#This Row],[Lab Q Model Units 4]]</f>
        <v>#N/A</v>
      </c>
      <c r="AF269" s="367" t="str">
        <f ca="1">IF(RawMaterials[[#This Row],[Lab Quote Count]]&gt;1,SLOPE(LOG(INDIRECT("RawMaterials[@[Lab Unit P 1]:[Lab Unit P "&amp;RawMaterials[[#This Row],[Lab Quote Count]]&amp;"]]")),LOG(INDIRECT("RawMaterials[@[Lab Q Model Units 1]:[Lab Q Model Units "&amp;RawMaterials[[#This Row],[Lab Quote Count]]&amp;"]]"))),"")</f>
        <v/>
      </c>
      <c r="AG269" s="367" t="str">
        <f ca="1">IF(RawMaterials[[#This Row],[Lab Quote Count]]&gt;1,INTERCEPT(LOG(INDIRECT("RawMaterials[@[Lab Unit P 1]:[Lab Unit P "&amp;RawMaterials[[#This Row],[Lab Quote Count]]&amp;"]]")),LOG(INDIRECT("RawMaterials[@[Lab Q Model Units 1]:[Lab Q Model Units "&amp;RawMaterials[[#This Row],[Lab Quote Count]]&amp;"]]"))),"")</f>
        <v/>
      </c>
      <c r="AH269" s="368" t="str">
        <f>IF(RawMaterials[[#This Row],[Material Type]]="Metal Precursor","D13",IF(RawMaterials[[#This Row],[Material Type]]="Ligand","D13","D12"))</f>
        <v>D12</v>
      </c>
      <c r="AI269" s="369" t="str">
        <f ca="1">IF(RawMaterials[[#This Row],[Lab Quote Count]]&gt;1,10^RawMaterials[[#This Row],[Lab Log-Log Intercept]]*INDIRECT(RawMaterials[[#This Row],[Basis Cell]])^RawMaterials[[#This Row],[Lab Log-Log Slope]],"&gt;&gt;&gt; Enter 2 or more lab quotes &lt;&lt;&lt;")</f>
        <v>&gt;&gt;&gt; Enter 2 or more lab quotes &lt;&lt;&lt;</v>
      </c>
      <c r="AJ2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3.5000000000000003E-2</v>
      </c>
      <c r="AL269" s="372">
        <f>IF(ISTEXT(RawMaterials[[#This Row],[Unit price in quote year]]),"Check calcs",RawMaterials[[#This Row],[Unit price in quote year]]/VLOOKUP(RawMaterials[[#This Row],[Quote Year]],ChemPPI[],14,FALSE)*VLOOKUP(BasisYear,ChemPPI[],14,FALSE))</f>
        <v>4.7502540650406516E-2</v>
      </c>
      <c r="AM269" s="373" t="str">
        <f t="shared" si="3"/>
        <v>$/lb (2016)</v>
      </c>
    </row>
    <row r="270" spans="1:39">
      <c r="A270" s="263" t="s">
        <v>1372</v>
      </c>
      <c r="B270" s="264"/>
      <c r="C270" s="271"/>
      <c r="D270" s="365"/>
      <c r="E270" s="264">
        <v>100</v>
      </c>
      <c r="F270" s="264"/>
      <c r="G270" s="271"/>
      <c r="H270" s="271"/>
      <c r="I270" s="268"/>
      <c r="J270" s="271"/>
      <c r="K270" s="271"/>
      <c r="L270" s="271"/>
      <c r="M270" s="271"/>
      <c r="N270" s="271"/>
      <c r="O270" s="271"/>
      <c r="P270" s="265">
        <v>61</v>
      </c>
      <c r="Q270" s="264">
        <v>1</v>
      </c>
      <c r="R270" s="264" t="s">
        <v>406</v>
      </c>
      <c r="S270" s="264">
        <v>2006</v>
      </c>
      <c r="T270" s="266" t="s">
        <v>163</v>
      </c>
      <c r="U270" s="267">
        <v>42653</v>
      </c>
      <c r="V270" s="269"/>
      <c r="W270" s="366">
        <f>COUNT(RawMaterials[[#This Row],[Lab Quantity 1]:[Lab Quantity 4]])</f>
        <v>0</v>
      </c>
      <c r="X2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0" s="367" t="e">
        <f>RawMaterials[[#This Row],[Lab Price 1]]/RawMaterials[[#This Row],[Lab Q Model Units 1]]</f>
        <v>#N/A</v>
      </c>
      <c r="AC270" s="367" t="e">
        <f>RawMaterials[[#This Row],[Lab Price 2]]/RawMaterials[[#This Row],[Lab Q Model Units 2]]</f>
        <v>#N/A</v>
      </c>
      <c r="AD270" s="367" t="e">
        <f>RawMaterials[[#This Row],[Lab Price 3]]/RawMaterials[[#This Row],[Lab Q Model Units 3]]</f>
        <v>#N/A</v>
      </c>
      <c r="AE270" s="367" t="e">
        <f>RawMaterials[[#This Row],[Lab Price 4]]/RawMaterials[[#This Row],[Lab Q Model Units 4]]</f>
        <v>#N/A</v>
      </c>
      <c r="AF270" s="367" t="str">
        <f ca="1">IF(RawMaterials[[#This Row],[Lab Quote Count]]&gt;1,SLOPE(LOG(INDIRECT("RawMaterials[@[Lab Unit P 1]:[Lab Unit P "&amp;RawMaterials[[#This Row],[Lab Quote Count]]&amp;"]]")),LOG(INDIRECT("RawMaterials[@[Lab Q Model Units 1]:[Lab Q Model Units "&amp;RawMaterials[[#This Row],[Lab Quote Count]]&amp;"]]"))),"")</f>
        <v/>
      </c>
      <c r="AG270" s="367" t="str">
        <f ca="1">IF(RawMaterials[[#This Row],[Lab Quote Count]]&gt;1,INTERCEPT(LOG(INDIRECT("RawMaterials[@[Lab Unit P 1]:[Lab Unit P "&amp;RawMaterials[[#This Row],[Lab Quote Count]]&amp;"]]")),LOG(INDIRECT("RawMaterials[@[Lab Q Model Units 1]:[Lab Q Model Units "&amp;RawMaterials[[#This Row],[Lab Quote Count]]&amp;"]]"))),"")</f>
        <v/>
      </c>
      <c r="AH270" s="368" t="str">
        <f>IF(RawMaterials[[#This Row],[Material Type]]="Metal Precursor","D13",IF(RawMaterials[[#This Row],[Material Type]]="Ligand","D13","D12"))</f>
        <v>D12</v>
      </c>
      <c r="AI270" s="369" t="str">
        <f ca="1">IF(RawMaterials[[#This Row],[Lab Quote Count]]&gt;1,10^RawMaterials[[#This Row],[Lab Log-Log Intercept]]*INDIRECT(RawMaterials[[#This Row],[Basis Cell]])^RawMaterials[[#This Row],[Lab Log-Log Slope]],"&gt;&gt;&gt; Enter 2 or more lab quotes &lt;&lt;&lt;")</f>
        <v>&gt;&gt;&gt; Enter 2 or more lab quotes &lt;&lt;&lt;</v>
      </c>
      <c r="AJ2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3.0499999999999999E-2</v>
      </c>
      <c r="AL270" s="372">
        <f>IF(ISTEXT(RawMaterials[[#This Row],[Unit price in quote year]]),"Check calcs",RawMaterials[[#This Row],[Unit price in quote year]]/VLOOKUP(RawMaterials[[#This Row],[Quote Year]],ChemPPI[],14,FALSE)*VLOOKUP(BasisYear,ChemPPI[],14,FALSE))</f>
        <v>4.1395071138211392E-2</v>
      </c>
      <c r="AM270" s="373" t="str">
        <f t="shared" si="3"/>
        <v>$/lb (2016)</v>
      </c>
    </row>
    <row r="271" spans="1:39">
      <c r="A271" s="263" t="s">
        <v>1373</v>
      </c>
      <c r="B271" s="264"/>
      <c r="C271" s="271"/>
      <c r="D271" s="365"/>
      <c r="E271" s="264">
        <v>100</v>
      </c>
      <c r="F271" s="264"/>
      <c r="G271" s="271"/>
      <c r="H271" s="271"/>
      <c r="I271" s="268"/>
      <c r="J271" s="271"/>
      <c r="K271" s="271"/>
      <c r="L271" s="271"/>
      <c r="M271" s="271"/>
      <c r="N271" s="271"/>
      <c r="O271" s="271"/>
      <c r="P271" s="265">
        <v>69.5</v>
      </c>
      <c r="Q271" s="264">
        <v>1</v>
      </c>
      <c r="R271" s="264" t="s">
        <v>406</v>
      </c>
      <c r="S271" s="264">
        <v>2006</v>
      </c>
      <c r="T271" s="266" t="s">
        <v>163</v>
      </c>
      <c r="U271" s="267">
        <v>42653</v>
      </c>
      <c r="V271" s="269"/>
      <c r="W271" s="366">
        <f>COUNT(RawMaterials[[#This Row],[Lab Quantity 1]:[Lab Quantity 4]])</f>
        <v>0</v>
      </c>
      <c r="X2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1" s="367" t="e">
        <f>RawMaterials[[#This Row],[Lab Price 1]]/RawMaterials[[#This Row],[Lab Q Model Units 1]]</f>
        <v>#N/A</v>
      </c>
      <c r="AC271" s="367" t="e">
        <f>RawMaterials[[#This Row],[Lab Price 2]]/RawMaterials[[#This Row],[Lab Q Model Units 2]]</f>
        <v>#N/A</v>
      </c>
      <c r="AD271" s="367" t="e">
        <f>RawMaterials[[#This Row],[Lab Price 3]]/RawMaterials[[#This Row],[Lab Q Model Units 3]]</f>
        <v>#N/A</v>
      </c>
      <c r="AE271" s="367" t="e">
        <f>RawMaterials[[#This Row],[Lab Price 4]]/RawMaterials[[#This Row],[Lab Q Model Units 4]]</f>
        <v>#N/A</v>
      </c>
      <c r="AF271" s="367" t="str">
        <f ca="1">IF(RawMaterials[[#This Row],[Lab Quote Count]]&gt;1,SLOPE(LOG(INDIRECT("RawMaterials[@[Lab Unit P 1]:[Lab Unit P "&amp;RawMaterials[[#This Row],[Lab Quote Count]]&amp;"]]")),LOG(INDIRECT("RawMaterials[@[Lab Q Model Units 1]:[Lab Q Model Units "&amp;RawMaterials[[#This Row],[Lab Quote Count]]&amp;"]]"))),"")</f>
        <v/>
      </c>
      <c r="AG271" s="367" t="str">
        <f ca="1">IF(RawMaterials[[#This Row],[Lab Quote Count]]&gt;1,INTERCEPT(LOG(INDIRECT("RawMaterials[@[Lab Unit P 1]:[Lab Unit P "&amp;RawMaterials[[#This Row],[Lab Quote Count]]&amp;"]]")),LOG(INDIRECT("RawMaterials[@[Lab Q Model Units 1]:[Lab Q Model Units "&amp;RawMaterials[[#This Row],[Lab Quote Count]]&amp;"]]"))),"")</f>
        <v/>
      </c>
      <c r="AH271" s="368" t="str">
        <f>IF(RawMaterials[[#This Row],[Material Type]]="Metal Precursor","D13",IF(RawMaterials[[#This Row],[Material Type]]="Ligand","D13","D12"))</f>
        <v>D12</v>
      </c>
      <c r="AI271" s="369" t="str">
        <f ca="1">IF(RawMaterials[[#This Row],[Lab Quote Count]]&gt;1,10^RawMaterials[[#This Row],[Lab Log-Log Intercept]]*INDIRECT(RawMaterials[[#This Row],[Basis Cell]])^RawMaterials[[#This Row],[Lab Log-Log Slope]],"&gt;&gt;&gt; Enter 2 or more lab quotes &lt;&lt;&lt;")</f>
        <v>&gt;&gt;&gt; Enter 2 or more lab quotes &lt;&lt;&lt;</v>
      </c>
      <c r="AJ2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3.4750000000000003E-2</v>
      </c>
      <c r="AL271" s="372">
        <f>IF(ISTEXT(RawMaterials[[#This Row],[Unit price in quote year]]),"Check calcs",RawMaterials[[#This Row],[Unit price in quote year]]/VLOOKUP(RawMaterials[[#This Row],[Quote Year]],ChemPPI[],14,FALSE)*VLOOKUP(BasisYear,ChemPPI[],14,FALSE))</f>
        <v>4.7163236788617897E-2</v>
      </c>
      <c r="AM271" s="373" t="str">
        <f t="shared" si="3"/>
        <v>$/lb (2016)</v>
      </c>
    </row>
    <row r="272" spans="1:39">
      <c r="A272" s="263" t="s">
        <v>1374</v>
      </c>
      <c r="B272" s="264"/>
      <c r="C272" s="271"/>
      <c r="D272" s="365"/>
      <c r="E272" s="264">
        <v>100</v>
      </c>
      <c r="F272" s="264"/>
      <c r="G272" s="271"/>
      <c r="H272" s="271"/>
      <c r="I272" s="268"/>
      <c r="J272" s="271"/>
      <c r="K272" s="271"/>
      <c r="L272" s="271"/>
      <c r="M272" s="271"/>
      <c r="N272" s="271"/>
      <c r="O272" s="271"/>
      <c r="P272" s="265">
        <v>0.47</v>
      </c>
      <c r="Q272" s="264">
        <v>1</v>
      </c>
      <c r="R272" s="264" t="s">
        <v>20</v>
      </c>
      <c r="S272" s="264">
        <v>2006</v>
      </c>
      <c r="T272" s="266" t="s">
        <v>163</v>
      </c>
      <c r="U272" s="267">
        <v>42653</v>
      </c>
      <c r="V272" s="269"/>
      <c r="W272" s="366">
        <f>COUNT(RawMaterials[[#This Row],[Lab Quantity 1]:[Lab Quantity 4]])</f>
        <v>0</v>
      </c>
      <c r="X2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2" s="367" t="e">
        <f>RawMaterials[[#This Row],[Lab Price 1]]/RawMaterials[[#This Row],[Lab Q Model Units 1]]</f>
        <v>#N/A</v>
      </c>
      <c r="AC272" s="367" t="e">
        <f>RawMaterials[[#This Row],[Lab Price 2]]/RawMaterials[[#This Row],[Lab Q Model Units 2]]</f>
        <v>#N/A</v>
      </c>
      <c r="AD272" s="367" t="e">
        <f>RawMaterials[[#This Row],[Lab Price 3]]/RawMaterials[[#This Row],[Lab Q Model Units 3]]</f>
        <v>#N/A</v>
      </c>
      <c r="AE272" s="367" t="e">
        <f>RawMaterials[[#This Row],[Lab Price 4]]/RawMaterials[[#This Row],[Lab Q Model Units 4]]</f>
        <v>#N/A</v>
      </c>
      <c r="AF272" s="367" t="str">
        <f ca="1">IF(RawMaterials[[#This Row],[Lab Quote Count]]&gt;1,SLOPE(LOG(INDIRECT("RawMaterials[@[Lab Unit P 1]:[Lab Unit P "&amp;RawMaterials[[#This Row],[Lab Quote Count]]&amp;"]]")),LOG(INDIRECT("RawMaterials[@[Lab Q Model Units 1]:[Lab Q Model Units "&amp;RawMaterials[[#This Row],[Lab Quote Count]]&amp;"]]"))),"")</f>
        <v/>
      </c>
      <c r="AG272" s="367" t="str">
        <f ca="1">IF(RawMaterials[[#This Row],[Lab Quote Count]]&gt;1,INTERCEPT(LOG(INDIRECT("RawMaterials[@[Lab Unit P 1]:[Lab Unit P "&amp;RawMaterials[[#This Row],[Lab Quote Count]]&amp;"]]")),LOG(INDIRECT("RawMaterials[@[Lab Q Model Units 1]:[Lab Q Model Units "&amp;RawMaterials[[#This Row],[Lab Quote Count]]&amp;"]]"))),"")</f>
        <v/>
      </c>
      <c r="AH272" s="368" t="str">
        <f>IF(RawMaterials[[#This Row],[Material Type]]="Metal Precursor","D13",IF(RawMaterials[[#This Row],[Material Type]]="Ligand","D13","D12"))</f>
        <v>D12</v>
      </c>
      <c r="AI272" s="369" t="str">
        <f ca="1">IF(RawMaterials[[#This Row],[Lab Quote Count]]&gt;1,10^RawMaterials[[#This Row],[Lab Log-Log Intercept]]*INDIRECT(RawMaterials[[#This Row],[Basis Cell]])^RawMaterials[[#This Row],[Lab Log-Log Slope]],"&gt;&gt;&gt; Enter 2 or more lab quotes &lt;&lt;&lt;")</f>
        <v>&gt;&gt;&gt; Enter 2 or more lab quotes &lt;&lt;&lt;</v>
      </c>
      <c r="AJ2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v>
      </c>
      <c r="AL272" s="372">
        <f>IF(ISTEXT(RawMaterials[[#This Row],[Unit price in quote year]]),"Check calcs",RawMaterials[[#This Row],[Unit price in quote year]]/VLOOKUP(RawMaterials[[#This Row],[Quote Year]],ChemPPI[],14,FALSE)*VLOOKUP(BasisYear,ChemPPI[],14,FALSE))</f>
        <v>0.63789126016260178</v>
      </c>
      <c r="AM272" s="373" t="str">
        <f t="shared" ref="AM272:AM335" si="4">CurrencySymbol&amp;"/"&amp;OutMassUnit&amp;" ("&amp;BasisYear&amp;")"</f>
        <v>$/lb (2016)</v>
      </c>
    </row>
    <row r="273" spans="1:39">
      <c r="A273" s="263" t="s">
        <v>1375</v>
      </c>
      <c r="B273" s="264"/>
      <c r="C273" s="271"/>
      <c r="D273" s="365"/>
      <c r="E273" s="264">
        <v>100</v>
      </c>
      <c r="F273" s="264"/>
      <c r="G273" s="271"/>
      <c r="H273" s="271"/>
      <c r="I273" s="268"/>
      <c r="J273" s="271"/>
      <c r="K273" s="271"/>
      <c r="L273" s="271"/>
      <c r="M273" s="271"/>
      <c r="N273" s="271"/>
      <c r="O273" s="271"/>
      <c r="P273" s="265">
        <v>0.52500000000000002</v>
      </c>
      <c r="Q273" s="264">
        <v>1</v>
      </c>
      <c r="R273" s="264" t="s">
        <v>20</v>
      </c>
      <c r="S273" s="264">
        <v>2006</v>
      </c>
      <c r="T273" s="266" t="s">
        <v>163</v>
      </c>
      <c r="U273" s="267">
        <v>42653</v>
      </c>
      <c r="V273" s="269"/>
      <c r="W273" s="366">
        <f>COUNT(RawMaterials[[#This Row],[Lab Quantity 1]:[Lab Quantity 4]])</f>
        <v>0</v>
      </c>
      <c r="X2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3" s="367" t="e">
        <f>RawMaterials[[#This Row],[Lab Price 1]]/RawMaterials[[#This Row],[Lab Q Model Units 1]]</f>
        <v>#N/A</v>
      </c>
      <c r="AC273" s="367" t="e">
        <f>RawMaterials[[#This Row],[Lab Price 2]]/RawMaterials[[#This Row],[Lab Q Model Units 2]]</f>
        <v>#N/A</v>
      </c>
      <c r="AD273" s="367" t="e">
        <f>RawMaterials[[#This Row],[Lab Price 3]]/RawMaterials[[#This Row],[Lab Q Model Units 3]]</f>
        <v>#N/A</v>
      </c>
      <c r="AE273" s="367" t="e">
        <f>RawMaterials[[#This Row],[Lab Price 4]]/RawMaterials[[#This Row],[Lab Q Model Units 4]]</f>
        <v>#N/A</v>
      </c>
      <c r="AF273" s="367" t="str">
        <f ca="1">IF(RawMaterials[[#This Row],[Lab Quote Count]]&gt;1,SLOPE(LOG(INDIRECT("RawMaterials[@[Lab Unit P 1]:[Lab Unit P "&amp;RawMaterials[[#This Row],[Lab Quote Count]]&amp;"]]")),LOG(INDIRECT("RawMaterials[@[Lab Q Model Units 1]:[Lab Q Model Units "&amp;RawMaterials[[#This Row],[Lab Quote Count]]&amp;"]]"))),"")</f>
        <v/>
      </c>
      <c r="AG273" s="367" t="str">
        <f ca="1">IF(RawMaterials[[#This Row],[Lab Quote Count]]&gt;1,INTERCEPT(LOG(INDIRECT("RawMaterials[@[Lab Unit P 1]:[Lab Unit P "&amp;RawMaterials[[#This Row],[Lab Quote Count]]&amp;"]]")),LOG(INDIRECT("RawMaterials[@[Lab Q Model Units 1]:[Lab Q Model Units "&amp;RawMaterials[[#This Row],[Lab Quote Count]]&amp;"]]"))),"")</f>
        <v/>
      </c>
      <c r="AH273" s="368" t="str">
        <f>IF(RawMaterials[[#This Row],[Material Type]]="Metal Precursor","D13",IF(RawMaterials[[#This Row],[Material Type]]="Ligand","D13","D12"))</f>
        <v>D12</v>
      </c>
      <c r="AI273" s="369" t="str">
        <f ca="1">IF(RawMaterials[[#This Row],[Lab Quote Count]]&gt;1,10^RawMaterials[[#This Row],[Lab Log-Log Intercept]]*INDIRECT(RawMaterials[[#This Row],[Basis Cell]])^RawMaterials[[#This Row],[Lab Log-Log Slope]],"&gt;&gt;&gt; Enter 2 or more lab quotes &lt;&lt;&lt;")</f>
        <v>&gt;&gt;&gt; Enter 2 or more lab quotes &lt;&lt;&lt;</v>
      </c>
      <c r="AJ2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73" s="372">
        <f>IF(ISTEXT(RawMaterials[[#This Row],[Unit price in quote year]]),"Check calcs",RawMaterials[[#This Row],[Unit price in quote year]]/VLOOKUP(RawMaterials[[#This Row],[Quote Year]],ChemPPI[],14,FALSE)*VLOOKUP(BasisYear,ChemPPI[],14,FALSE))</f>
        <v>0.71253810975609766</v>
      </c>
      <c r="AM273" s="373" t="str">
        <f t="shared" si="4"/>
        <v>$/lb (2016)</v>
      </c>
    </row>
    <row r="274" spans="1:39">
      <c r="A274" s="263" t="s">
        <v>1376</v>
      </c>
      <c r="B274" s="264"/>
      <c r="C274" s="271"/>
      <c r="D274" s="365"/>
      <c r="E274" s="264">
        <v>100</v>
      </c>
      <c r="F274" s="264"/>
      <c r="G274" s="271"/>
      <c r="H274" s="271"/>
      <c r="I274" s="268"/>
      <c r="J274" s="271"/>
      <c r="K274" s="271"/>
      <c r="L274" s="271"/>
      <c r="M274" s="271"/>
      <c r="N274" s="271"/>
      <c r="O274" s="271"/>
      <c r="P274" s="265">
        <v>0.49</v>
      </c>
      <c r="Q274" s="264">
        <v>1</v>
      </c>
      <c r="R274" s="264" t="s">
        <v>20</v>
      </c>
      <c r="S274" s="264">
        <v>2007</v>
      </c>
      <c r="T274" s="266" t="s">
        <v>163</v>
      </c>
      <c r="U274" s="267">
        <v>42653</v>
      </c>
      <c r="V274" s="269"/>
      <c r="W274" s="366">
        <f>COUNT(RawMaterials[[#This Row],[Lab Quantity 1]:[Lab Quantity 4]])</f>
        <v>0</v>
      </c>
      <c r="X2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4" s="367" t="e">
        <f>RawMaterials[[#This Row],[Lab Price 1]]/RawMaterials[[#This Row],[Lab Q Model Units 1]]</f>
        <v>#N/A</v>
      </c>
      <c r="AC274" s="367" t="e">
        <f>RawMaterials[[#This Row],[Lab Price 2]]/RawMaterials[[#This Row],[Lab Q Model Units 2]]</f>
        <v>#N/A</v>
      </c>
      <c r="AD274" s="367" t="e">
        <f>RawMaterials[[#This Row],[Lab Price 3]]/RawMaterials[[#This Row],[Lab Q Model Units 3]]</f>
        <v>#N/A</v>
      </c>
      <c r="AE274" s="367" t="e">
        <f>RawMaterials[[#This Row],[Lab Price 4]]/RawMaterials[[#This Row],[Lab Q Model Units 4]]</f>
        <v>#N/A</v>
      </c>
      <c r="AF274" s="367" t="str">
        <f ca="1">IF(RawMaterials[[#This Row],[Lab Quote Count]]&gt;1,SLOPE(LOG(INDIRECT("RawMaterials[@[Lab Unit P 1]:[Lab Unit P "&amp;RawMaterials[[#This Row],[Lab Quote Count]]&amp;"]]")),LOG(INDIRECT("RawMaterials[@[Lab Q Model Units 1]:[Lab Q Model Units "&amp;RawMaterials[[#This Row],[Lab Quote Count]]&amp;"]]"))),"")</f>
        <v/>
      </c>
      <c r="AG274" s="367" t="str">
        <f ca="1">IF(RawMaterials[[#This Row],[Lab Quote Count]]&gt;1,INTERCEPT(LOG(INDIRECT("RawMaterials[@[Lab Unit P 1]:[Lab Unit P "&amp;RawMaterials[[#This Row],[Lab Quote Count]]&amp;"]]")),LOG(INDIRECT("RawMaterials[@[Lab Q Model Units 1]:[Lab Q Model Units "&amp;RawMaterials[[#This Row],[Lab Quote Count]]&amp;"]]"))),"")</f>
        <v/>
      </c>
      <c r="AH274" s="368" t="str">
        <f>IF(RawMaterials[[#This Row],[Material Type]]="Metal Precursor","D13",IF(RawMaterials[[#This Row],[Material Type]]="Ligand","D13","D12"))</f>
        <v>D12</v>
      </c>
      <c r="AI274" s="369" t="str">
        <f ca="1">IF(RawMaterials[[#This Row],[Lab Quote Count]]&gt;1,10^RawMaterials[[#This Row],[Lab Log-Log Intercept]]*INDIRECT(RawMaterials[[#This Row],[Basis Cell]])^RawMaterials[[#This Row],[Lab Log-Log Slope]],"&gt;&gt;&gt; Enter 2 or more lab quotes &lt;&lt;&lt;")</f>
        <v>&gt;&gt;&gt; Enter 2 or more lab quotes &lt;&lt;&lt;</v>
      </c>
      <c r="AJ2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274" s="372">
        <f>IF(ISTEXT(RawMaterials[[#This Row],[Unit price in quote year]]),"Check calcs",RawMaterials[[#This Row],[Unit price in quote year]]/VLOOKUP(RawMaterials[[#This Row],[Quote Year]],ChemPPI[],14,FALSE)*VLOOKUP(BasisYear,ChemPPI[],14,FALSE))</f>
        <v>0.64364083439203323</v>
      </c>
      <c r="AM274" s="373" t="str">
        <f t="shared" si="4"/>
        <v>$/lb (2016)</v>
      </c>
    </row>
    <row r="275" spans="1:39">
      <c r="A275" s="263" t="s">
        <v>1377</v>
      </c>
      <c r="B275" s="264"/>
      <c r="C275" s="271"/>
      <c r="D275" s="365"/>
      <c r="E275" s="264">
        <v>100</v>
      </c>
      <c r="F275" s="264"/>
      <c r="G275" s="271"/>
      <c r="H275" s="271"/>
      <c r="I275" s="268"/>
      <c r="J275" s="271"/>
      <c r="K275" s="271"/>
      <c r="L275" s="271"/>
      <c r="M275" s="271"/>
      <c r="N275" s="271"/>
      <c r="O275" s="271"/>
      <c r="P275" s="265">
        <v>137.5</v>
      </c>
      <c r="Q275" s="264">
        <v>1</v>
      </c>
      <c r="R275" s="264" t="s">
        <v>406</v>
      </c>
      <c r="S275" s="264">
        <v>2006</v>
      </c>
      <c r="T275" s="266" t="s">
        <v>163</v>
      </c>
      <c r="U275" s="267">
        <v>42653</v>
      </c>
      <c r="V275" s="269"/>
      <c r="W275" s="366">
        <f>COUNT(RawMaterials[[#This Row],[Lab Quantity 1]:[Lab Quantity 4]])</f>
        <v>0</v>
      </c>
      <c r="X2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5" s="367" t="e">
        <f>RawMaterials[[#This Row],[Lab Price 1]]/RawMaterials[[#This Row],[Lab Q Model Units 1]]</f>
        <v>#N/A</v>
      </c>
      <c r="AC275" s="367" t="e">
        <f>RawMaterials[[#This Row],[Lab Price 2]]/RawMaterials[[#This Row],[Lab Q Model Units 2]]</f>
        <v>#N/A</v>
      </c>
      <c r="AD275" s="367" t="e">
        <f>RawMaterials[[#This Row],[Lab Price 3]]/RawMaterials[[#This Row],[Lab Q Model Units 3]]</f>
        <v>#N/A</v>
      </c>
      <c r="AE275" s="367" t="e">
        <f>RawMaterials[[#This Row],[Lab Price 4]]/RawMaterials[[#This Row],[Lab Q Model Units 4]]</f>
        <v>#N/A</v>
      </c>
      <c r="AF275" s="367" t="str">
        <f ca="1">IF(RawMaterials[[#This Row],[Lab Quote Count]]&gt;1,SLOPE(LOG(INDIRECT("RawMaterials[@[Lab Unit P 1]:[Lab Unit P "&amp;RawMaterials[[#This Row],[Lab Quote Count]]&amp;"]]")),LOG(INDIRECT("RawMaterials[@[Lab Q Model Units 1]:[Lab Q Model Units "&amp;RawMaterials[[#This Row],[Lab Quote Count]]&amp;"]]"))),"")</f>
        <v/>
      </c>
      <c r="AG275" s="367" t="str">
        <f ca="1">IF(RawMaterials[[#This Row],[Lab Quote Count]]&gt;1,INTERCEPT(LOG(INDIRECT("RawMaterials[@[Lab Unit P 1]:[Lab Unit P "&amp;RawMaterials[[#This Row],[Lab Quote Count]]&amp;"]]")),LOG(INDIRECT("RawMaterials[@[Lab Q Model Units 1]:[Lab Q Model Units "&amp;RawMaterials[[#This Row],[Lab Quote Count]]&amp;"]]"))),"")</f>
        <v/>
      </c>
      <c r="AH275" s="368" t="str">
        <f>IF(RawMaterials[[#This Row],[Material Type]]="Metal Precursor","D13",IF(RawMaterials[[#This Row],[Material Type]]="Ligand","D13","D12"))</f>
        <v>D12</v>
      </c>
      <c r="AI275" s="369" t="str">
        <f ca="1">IF(RawMaterials[[#This Row],[Lab Quote Count]]&gt;1,10^RawMaterials[[#This Row],[Lab Log-Log Intercept]]*INDIRECT(RawMaterials[[#This Row],[Basis Cell]])^RawMaterials[[#This Row],[Lab Log-Log Slope]],"&gt;&gt;&gt; Enter 2 or more lab quotes &lt;&lt;&lt;")</f>
        <v>&gt;&gt;&gt; Enter 2 or more lab quotes &lt;&lt;&lt;</v>
      </c>
      <c r="AJ2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6.8750000000000006E-2</v>
      </c>
      <c r="AL275" s="372">
        <f>IF(ISTEXT(RawMaterials[[#This Row],[Unit price in quote year]]),"Check calcs",RawMaterials[[#This Row],[Unit price in quote year]]/VLOOKUP(RawMaterials[[#This Row],[Quote Year]],ChemPPI[],14,FALSE)*VLOOKUP(BasisYear,ChemPPI[],14,FALSE))</f>
        <v>9.3308561991869945E-2</v>
      </c>
      <c r="AM275" s="373" t="str">
        <f t="shared" si="4"/>
        <v>$/lb (2016)</v>
      </c>
    </row>
    <row r="276" spans="1:39">
      <c r="A276" s="263" t="s">
        <v>1378</v>
      </c>
      <c r="B276" s="264"/>
      <c r="C276" s="271"/>
      <c r="D276" s="365"/>
      <c r="E276" s="264">
        <v>100</v>
      </c>
      <c r="F276" s="264"/>
      <c r="G276" s="271"/>
      <c r="H276" s="271"/>
      <c r="I276" s="268"/>
      <c r="J276" s="271"/>
      <c r="K276" s="271"/>
      <c r="L276" s="271"/>
      <c r="M276" s="271"/>
      <c r="N276" s="271"/>
      <c r="O276" s="271"/>
      <c r="P276" s="265">
        <v>23</v>
      </c>
      <c r="Q276" s="264">
        <v>1</v>
      </c>
      <c r="R276" s="264" t="s">
        <v>71</v>
      </c>
      <c r="S276" s="264">
        <v>2006</v>
      </c>
      <c r="T276" s="266" t="s">
        <v>163</v>
      </c>
      <c r="U276" s="267">
        <v>42653</v>
      </c>
      <c r="V276" s="269"/>
      <c r="W276" s="366">
        <f>COUNT(RawMaterials[[#This Row],[Lab Quantity 1]:[Lab Quantity 4]])</f>
        <v>0</v>
      </c>
      <c r="X2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6" s="367" t="e">
        <f>RawMaterials[[#This Row],[Lab Price 1]]/RawMaterials[[#This Row],[Lab Q Model Units 1]]</f>
        <v>#N/A</v>
      </c>
      <c r="AC276" s="367" t="e">
        <f>RawMaterials[[#This Row],[Lab Price 2]]/RawMaterials[[#This Row],[Lab Q Model Units 2]]</f>
        <v>#N/A</v>
      </c>
      <c r="AD276" s="367" t="e">
        <f>RawMaterials[[#This Row],[Lab Price 3]]/RawMaterials[[#This Row],[Lab Q Model Units 3]]</f>
        <v>#N/A</v>
      </c>
      <c r="AE276" s="367" t="e">
        <f>RawMaterials[[#This Row],[Lab Price 4]]/RawMaterials[[#This Row],[Lab Q Model Units 4]]</f>
        <v>#N/A</v>
      </c>
      <c r="AF276" s="367" t="str">
        <f ca="1">IF(RawMaterials[[#This Row],[Lab Quote Count]]&gt;1,SLOPE(LOG(INDIRECT("RawMaterials[@[Lab Unit P 1]:[Lab Unit P "&amp;RawMaterials[[#This Row],[Lab Quote Count]]&amp;"]]")),LOG(INDIRECT("RawMaterials[@[Lab Q Model Units 1]:[Lab Q Model Units "&amp;RawMaterials[[#This Row],[Lab Quote Count]]&amp;"]]"))),"")</f>
        <v/>
      </c>
      <c r="AG276" s="367" t="str">
        <f ca="1">IF(RawMaterials[[#This Row],[Lab Quote Count]]&gt;1,INTERCEPT(LOG(INDIRECT("RawMaterials[@[Lab Unit P 1]:[Lab Unit P "&amp;RawMaterials[[#This Row],[Lab Quote Count]]&amp;"]]")),LOG(INDIRECT("RawMaterials[@[Lab Q Model Units 1]:[Lab Q Model Units "&amp;RawMaterials[[#This Row],[Lab Quote Count]]&amp;"]]"))),"")</f>
        <v/>
      </c>
      <c r="AH276" s="368" t="str">
        <f>IF(RawMaterials[[#This Row],[Material Type]]="Metal Precursor","D13",IF(RawMaterials[[#This Row],[Material Type]]="Ligand","D13","D12"))</f>
        <v>D12</v>
      </c>
      <c r="AI276" s="369" t="str">
        <f ca="1">IF(RawMaterials[[#This Row],[Lab Quote Count]]&gt;1,10^RawMaterials[[#This Row],[Lab Log-Log Intercept]]*INDIRECT(RawMaterials[[#This Row],[Basis Cell]])^RawMaterials[[#This Row],[Lab Log-Log Slope]],"&gt;&gt;&gt; Enter 2 or more lab quotes &lt;&lt;&lt;")</f>
        <v>&gt;&gt;&gt; Enter 2 or more lab quotes &lt;&lt;&lt;</v>
      </c>
      <c r="AJ2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10.43262451</v>
      </c>
      <c r="AL276" s="372">
        <f>IF(ISTEXT(RawMaterials[[#This Row],[Unit price in quote year]]),"Check calcs",RawMaterials[[#This Row],[Unit price in quote year]]/VLOOKUP(RawMaterials[[#This Row],[Quote Year]],ChemPPI[],14,FALSE)*VLOOKUP(BasisYear,ChemPPI[],14,FALSE))</f>
        <v>14.159319139334352</v>
      </c>
      <c r="AM276" s="373" t="str">
        <f t="shared" si="4"/>
        <v>$/lb (2016)</v>
      </c>
    </row>
    <row r="277" spans="1:39">
      <c r="A277" s="263" t="s">
        <v>1379</v>
      </c>
      <c r="B277" s="264"/>
      <c r="C277" s="271"/>
      <c r="D277" s="365">
        <v>0.86</v>
      </c>
      <c r="E277" s="264">
        <v>100</v>
      </c>
      <c r="F277" s="264"/>
      <c r="G277" s="271"/>
      <c r="H277" s="271"/>
      <c r="I277" s="268"/>
      <c r="J277" s="271"/>
      <c r="K277" s="271"/>
      <c r="L277" s="271"/>
      <c r="M277" s="271"/>
      <c r="N277" s="271"/>
      <c r="O277" s="271"/>
      <c r="P277" s="265">
        <v>1.32</v>
      </c>
      <c r="Q277" s="264">
        <v>1</v>
      </c>
      <c r="R277" s="264" t="s">
        <v>85</v>
      </c>
      <c r="S277" s="264">
        <v>2006</v>
      </c>
      <c r="T277" s="266" t="s">
        <v>163</v>
      </c>
      <c r="U277" s="267">
        <v>42653</v>
      </c>
      <c r="V277" s="269"/>
      <c r="W277" s="366">
        <f>COUNT(RawMaterials[[#This Row],[Lab Quantity 1]:[Lab Quantity 4]])</f>
        <v>0</v>
      </c>
      <c r="X2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7" s="367" t="e">
        <f>RawMaterials[[#This Row],[Lab Price 1]]/RawMaterials[[#This Row],[Lab Q Model Units 1]]</f>
        <v>#N/A</v>
      </c>
      <c r="AC277" s="367" t="e">
        <f>RawMaterials[[#This Row],[Lab Price 2]]/RawMaterials[[#This Row],[Lab Q Model Units 2]]</f>
        <v>#N/A</v>
      </c>
      <c r="AD277" s="367" t="e">
        <f>RawMaterials[[#This Row],[Lab Price 3]]/RawMaterials[[#This Row],[Lab Q Model Units 3]]</f>
        <v>#N/A</v>
      </c>
      <c r="AE277" s="367" t="e">
        <f>RawMaterials[[#This Row],[Lab Price 4]]/RawMaterials[[#This Row],[Lab Q Model Units 4]]</f>
        <v>#N/A</v>
      </c>
      <c r="AF277" s="367" t="str">
        <f ca="1">IF(RawMaterials[[#This Row],[Lab Quote Count]]&gt;1,SLOPE(LOG(INDIRECT("RawMaterials[@[Lab Unit P 1]:[Lab Unit P "&amp;RawMaterials[[#This Row],[Lab Quote Count]]&amp;"]]")),LOG(INDIRECT("RawMaterials[@[Lab Q Model Units 1]:[Lab Q Model Units "&amp;RawMaterials[[#This Row],[Lab Quote Count]]&amp;"]]"))),"")</f>
        <v/>
      </c>
      <c r="AG277" s="367" t="str">
        <f ca="1">IF(RawMaterials[[#This Row],[Lab Quote Count]]&gt;1,INTERCEPT(LOG(INDIRECT("RawMaterials[@[Lab Unit P 1]:[Lab Unit P "&amp;RawMaterials[[#This Row],[Lab Quote Count]]&amp;"]]")),LOG(INDIRECT("RawMaterials[@[Lab Q Model Units 1]:[Lab Q Model Units "&amp;RawMaterials[[#This Row],[Lab Quote Count]]&amp;"]]"))),"")</f>
        <v/>
      </c>
      <c r="AH277" s="368" t="str">
        <f>IF(RawMaterials[[#This Row],[Material Type]]="Metal Precursor","D13",IF(RawMaterials[[#This Row],[Material Type]]="Ligand","D13","D12"))</f>
        <v>D12</v>
      </c>
      <c r="AI277" s="369" t="str">
        <f ca="1">IF(RawMaterials[[#This Row],[Lab Quote Count]]&gt;1,10^RawMaterials[[#This Row],[Lab Log-Log Intercept]]*INDIRECT(RawMaterials[[#This Row],[Basis Cell]])^RawMaterials[[#This Row],[Lab Log-Log Slope]],"&gt;&gt;&gt; Enter 2 or more lab quotes &lt;&lt;&lt;")</f>
        <v>&gt;&gt;&gt; Enter 2 or more lab quotes &lt;&lt;&lt;</v>
      </c>
      <c r="AJ2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7.1770478287366251</v>
      </c>
      <c r="AK2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0.18391963262593439</v>
      </c>
      <c r="AL277" s="372">
        <f>IF(ISTEXT(RawMaterials[[#This Row],[Unit price in quote year]]),"Check calcs",RawMaterials[[#This Row],[Unit price in quote year]]/VLOOKUP(RawMaterials[[#This Row],[Quote Year]],ChemPPI[],14,FALSE)*VLOOKUP(BasisYear,ChemPPI[],14,FALSE))</f>
        <v>0.24961856643489372</v>
      </c>
      <c r="AM277" s="373" t="str">
        <f t="shared" si="4"/>
        <v>$/lb (2016)</v>
      </c>
    </row>
    <row r="278" spans="1:39">
      <c r="A278" s="263" t="s">
        <v>1380</v>
      </c>
      <c r="B278" s="264"/>
      <c r="C278" s="271"/>
      <c r="D278" s="365"/>
      <c r="E278" s="264">
        <v>100</v>
      </c>
      <c r="F278" s="264"/>
      <c r="G278" s="271"/>
      <c r="H278" s="271"/>
      <c r="I278" s="268"/>
      <c r="J278" s="271"/>
      <c r="K278" s="271"/>
      <c r="L278" s="271"/>
      <c r="M278" s="271"/>
      <c r="N278" s="271"/>
      <c r="O278" s="271"/>
      <c r="P278" s="265">
        <v>0.13874999999999901</v>
      </c>
      <c r="Q278" s="264">
        <v>1</v>
      </c>
      <c r="R278" s="264" t="s">
        <v>20</v>
      </c>
      <c r="S278" s="264">
        <v>2006</v>
      </c>
      <c r="T278" s="266" t="s">
        <v>163</v>
      </c>
      <c r="U278" s="267">
        <v>42653</v>
      </c>
      <c r="V278" s="269"/>
      <c r="W278" s="366">
        <f>COUNT(RawMaterials[[#This Row],[Lab Quantity 1]:[Lab Quantity 4]])</f>
        <v>0</v>
      </c>
      <c r="X2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8" s="367" t="e">
        <f>RawMaterials[[#This Row],[Lab Price 1]]/RawMaterials[[#This Row],[Lab Q Model Units 1]]</f>
        <v>#N/A</v>
      </c>
      <c r="AC278" s="367" t="e">
        <f>RawMaterials[[#This Row],[Lab Price 2]]/RawMaterials[[#This Row],[Lab Q Model Units 2]]</f>
        <v>#N/A</v>
      </c>
      <c r="AD278" s="367" t="e">
        <f>RawMaterials[[#This Row],[Lab Price 3]]/RawMaterials[[#This Row],[Lab Q Model Units 3]]</f>
        <v>#N/A</v>
      </c>
      <c r="AE278" s="367" t="e">
        <f>RawMaterials[[#This Row],[Lab Price 4]]/RawMaterials[[#This Row],[Lab Q Model Units 4]]</f>
        <v>#N/A</v>
      </c>
      <c r="AF278" s="367" t="str">
        <f ca="1">IF(RawMaterials[[#This Row],[Lab Quote Count]]&gt;1,SLOPE(LOG(INDIRECT("RawMaterials[@[Lab Unit P 1]:[Lab Unit P "&amp;RawMaterials[[#This Row],[Lab Quote Count]]&amp;"]]")),LOG(INDIRECT("RawMaterials[@[Lab Q Model Units 1]:[Lab Q Model Units "&amp;RawMaterials[[#This Row],[Lab Quote Count]]&amp;"]]"))),"")</f>
        <v/>
      </c>
      <c r="AG278" s="367" t="str">
        <f ca="1">IF(RawMaterials[[#This Row],[Lab Quote Count]]&gt;1,INTERCEPT(LOG(INDIRECT("RawMaterials[@[Lab Unit P 1]:[Lab Unit P "&amp;RawMaterials[[#This Row],[Lab Quote Count]]&amp;"]]")),LOG(INDIRECT("RawMaterials[@[Lab Q Model Units 1]:[Lab Q Model Units "&amp;RawMaterials[[#This Row],[Lab Quote Count]]&amp;"]]"))),"")</f>
        <v/>
      </c>
      <c r="AH278" s="368" t="str">
        <f>IF(RawMaterials[[#This Row],[Material Type]]="Metal Precursor","D13",IF(RawMaterials[[#This Row],[Material Type]]="Ligand","D13","D12"))</f>
        <v>D12</v>
      </c>
      <c r="AI278" s="369" t="str">
        <f ca="1">IF(RawMaterials[[#This Row],[Lab Quote Count]]&gt;1,10^RawMaterials[[#This Row],[Lab Log-Log Intercept]]*INDIRECT(RawMaterials[[#This Row],[Basis Cell]])^RawMaterials[[#This Row],[Lab Log-Log Slope]],"&gt;&gt;&gt; Enter 2 or more lab quotes &lt;&lt;&lt;")</f>
        <v>&gt;&gt;&gt; Enter 2 or more lab quotes &lt;&lt;&lt;</v>
      </c>
      <c r="AJ2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0.13874999999999901</v>
      </c>
      <c r="AL278" s="372">
        <f>IF(ISTEXT(RawMaterials[[#This Row],[Unit price in quote year]]),"Check calcs",RawMaterials[[#This Row],[Unit price in quote year]]/VLOOKUP(RawMaterials[[#This Row],[Quote Year]],ChemPPI[],14,FALSE)*VLOOKUP(BasisYear,ChemPPI[],14,FALSE))</f>
        <v>0.18831364329268163</v>
      </c>
      <c r="AM278" s="373" t="str">
        <f t="shared" si="4"/>
        <v>$/lb (2016)</v>
      </c>
    </row>
    <row r="279" spans="1:39">
      <c r="A279" s="263" t="s">
        <v>1381</v>
      </c>
      <c r="B279" s="264"/>
      <c r="C279" s="271"/>
      <c r="D279" s="365"/>
      <c r="E279" s="264">
        <v>100</v>
      </c>
      <c r="F279" s="264"/>
      <c r="G279" s="271"/>
      <c r="H279" s="271"/>
      <c r="I279" s="268"/>
      <c r="J279" s="271"/>
      <c r="K279" s="271"/>
      <c r="L279" s="271"/>
      <c r="M279" s="271"/>
      <c r="N279" s="271"/>
      <c r="O279" s="271"/>
      <c r="P279" s="265">
        <v>0.14499999999999999</v>
      </c>
      <c r="Q279" s="264">
        <v>1</v>
      </c>
      <c r="R279" s="264" t="s">
        <v>20</v>
      </c>
      <c r="S279" s="264">
        <v>2006</v>
      </c>
      <c r="T279" s="266" t="s">
        <v>163</v>
      </c>
      <c r="U279" s="267">
        <v>42653</v>
      </c>
      <c r="V279" s="269"/>
      <c r="W279" s="366">
        <f>COUNT(RawMaterials[[#This Row],[Lab Quantity 1]:[Lab Quantity 4]])</f>
        <v>0</v>
      </c>
      <c r="X2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79" s="367" t="e">
        <f>RawMaterials[[#This Row],[Lab Price 1]]/RawMaterials[[#This Row],[Lab Q Model Units 1]]</f>
        <v>#N/A</v>
      </c>
      <c r="AC279" s="367" t="e">
        <f>RawMaterials[[#This Row],[Lab Price 2]]/RawMaterials[[#This Row],[Lab Q Model Units 2]]</f>
        <v>#N/A</v>
      </c>
      <c r="AD279" s="367" t="e">
        <f>RawMaterials[[#This Row],[Lab Price 3]]/RawMaterials[[#This Row],[Lab Q Model Units 3]]</f>
        <v>#N/A</v>
      </c>
      <c r="AE279" s="367" t="e">
        <f>RawMaterials[[#This Row],[Lab Price 4]]/RawMaterials[[#This Row],[Lab Q Model Units 4]]</f>
        <v>#N/A</v>
      </c>
      <c r="AF279" s="367" t="str">
        <f ca="1">IF(RawMaterials[[#This Row],[Lab Quote Count]]&gt;1,SLOPE(LOG(INDIRECT("RawMaterials[@[Lab Unit P 1]:[Lab Unit P "&amp;RawMaterials[[#This Row],[Lab Quote Count]]&amp;"]]")),LOG(INDIRECT("RawMaterials[@[Lab Q Model Units 1]:[Lab Q Model Units "&amp;RawMaterials[[#This Row],[Lab Quote Count]]&amp;"]]"))),"")</f>
        <v/>
      </c>
      <c r="AG279" s="367" t="str">
        <f ca="1">IF(RawMaterials[[#This Row],[Lab Quote Count]]&gt;1,INTERCEPT(LOG(INDIRECT("RawMaterials[@[Lab Unit P 1]:[Lab Unit P "&amp;RawMaterials[[#This Row],[Lab Quote Count]]&amp;"]]")),LOG(INDIRECT("RawMaterials[@[Lab Q Model Units 1]:[Lab Q Model Units "&amp;RawMaterials[[#This Row],[Lab Quote Count]]&amp;"]]"))),"")</f>
        <v/>
      </c>
      <c r="AH279" s="368" t="str">
        <f>IF(RawMaterials[[#This Row],[Material Type]]="Metal Precursor","D13",IF(RawMaterials[[#This Row],[Material Type]]="Ligand","D13","D12"))</f>
        <v>D12</v>
      </c>
      <c r="AI279" s="369" t="str">
        <f ca="1">IF(RawMaterials[[#This Row],[Lab Quote Count]]&gt;1,10^RawMaterials[[#This Row],[Lab Log-Log Intercept]]*INDIRECT(RawMaterials[[#This Row],[Basis Cell]])^RawMaterials[[#This Row],[Lab Log-Log Slope]],"&gt;&gt;&gt; Enter 2 or more lab quotes &lt;&lt;&lt;")</f>
        <v>&gt;&gt;&gt; Enter 2 or more lab quotes &lt;&lt;&lt;</v>
      </c>
      <c r="AJ2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0.14499999999999999</v>
      </c>
      <c r="AL279" s="372">
        <f>IF(ISTEXT(RawMaterials[[#This Row],[Unit price in quote year]]),"Check calcs",RawMaterials[[#This Row],[Unit price in quote year]]/VLOOKUP(RawMaterials[[#This Row],[Quote Year]],ChemPPI[],14,FALSE)*VLOOKUP(BasisYear,ChemPPI[],14,FALSE))</f>
        <v>0.19679623983739841</v>
      </c>
      <c r="AM279" s="373" t="str">
        <f t="shared" si="4"/>
        <v>$/lb (2016)</v>
      </c>
    </row>
    <row r="280" spans="1:39">
      <c r="A280" s="263" t="s">
        <v>1382</v>
      </c>
      <c r="B280" s="264"/>
      <c r="C280" s="271"/>
      <c r="D280" s="365"/>
      <c r="E280" s="264">
        <v>100</v>
      </c>
      <c r="F280" s="264"/>
      <c r="G280" s="271"/>
      <c r="H280" s="271"/>
      <c r="I280" s="268"/>
      <c r="J280" s="271"/>
      <c r="K280" s="271"/>
      <c r="L280" s="271"/>
      <c r="M280" s="271"/>
      <c r="N280" s="271"/>
      <c r="O280" s="271"/>
      <c r="P280" s="265">
        <v>4.25</v>
      </c>
      <c r="Q280" s="264">
        <v>1</v>
      </c>
      <c r="R280" s="264" t="s">
        <v>20</v>
      </c>
      <c r="S280" s="264">
        <v>2006</v>
      </c>
      <c r="T280" s="266" t="s">
        <v>163</v>
      </c>
      <c r="U280" s="267">
        <v>42653</v>
      </c>
      <c r="V280" s="269"/>
      <c r="W280" s="366">
        <f>COUNT(RawMaterials[[#This Row],[Lab Quantity 1]:[Lab Quantity 4]])</f>
        <v>0</v>
      </c>
      <c r="X2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0" s="367" t="e">
        <f>RawMaterials[[#This Row],[Lab Price 1]]/RawMaterials[[#This Row],[Lab Q Model Units 1]]</f>
        <v>#N/A</v>
      </c>
      <c r="AC280" s="367" t="e">
        <f>RawMaterials[[#This Row],[Lab Price 2]]/RawMaterials[[#This Row],[Lab Q Model Units 2]]</f>
        <v>#N/A</v>
      </c>
      <c r="AD280" s="367" t="e">
        <f>RawMaterials[[#This Row],[Lab Price 3]]/RawMaterials[[#This Row],[Lab Q Model Units 3]]</f>
        <v>#N/A</v>
      </c>
      <c r="AE280" s="367" t="e">
        <f>RawMaterials[[#This Row],[Lab Price 4]]/RawMaterials[[#This Row],[Lab Q Model Units 4]]</f>
        <v>#N/A</v>
      </c>
      <c r="AF280" s="367" t="str">
        <f ca="1">IF(RawMaterials[[#This Row],[Lab Quote Count]]&gt;1,SLOPE(LOG(INDIRECT("RawMaterials[@[Lab Unit P 1]:[Lab Unit P "&amp;RawMaterials[[#This Row],[Lab Quote Count]]&amp;"]]")),LOG(INDIRECT("RawMaterials[@[Lab Q Model Units 1]:[Lab Q Model Units "&amp;RawMaterials[[#This Row],[Lab Quote Count]]&amp;"]]"))),"")</f>
        <v/>
      </c>
      <c r="AG280" s="367" t="str">
        <f ca="1">IF(RawMaterials[[#This Row],[Lab Quote Count]]&gt;1,INTERCEPT(LOG(INDIRECT("RawMaterials[@[Lab Unit P 1]:[Lab Unit P "&amp;RawMaterials[[#This Row],[Lab Quote Count]]&amp;"]]")),LOG(INDIRECT("RawMaterials[@[Lab Q Model Units 1]:[Lab Q Model Units "&amp;RawMaterials[[#This Row],[Lab Quote Count]]&amp;"]]"))),"")</f>
        <v/>
      </c>
      <c r="AH280" s="368" t="str">
        <f>IF(RawMaterials[[#This Row],[Material Type]]="Metal Precursor","D13",IF(RawMaterials[[#This Row],[Material Type]]="Ligand","D13","D12"))</f>
        <v>D12</v>
      </c>
      <c r="AI280" s="369" t="str">
        <f ca="1">IF(RawMaterials[[#This Row],[Lab Quote Count]]&gt;1,10^RawMaterials[[#This Row],[Lab Log-Log Intercept]]*INDIRECT(RawMaterials[[#This Row],[Basis Cell]])^RawMaterials[[#This Row],[Lab Log-Log Slope]],"&gt;&gt;&gt; Enter 2 or more lab quotes &lt;&lt;&lt;")</f>
        <v>&gt;&gt;&gt; Enter 2 or more lab quotes &lt;&lt;&lt;</v>
      </c>
      <c r="AJ2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4.25</v>
      </c>
      <c r="AL280" s="372">
        <f>IF(ISTEXT(RawMaterials[[#This Row],[Unit price in quote year]]),"Check calcs",RawMaterials[[#This Row],[Unit price in quote year]]/VLOOKUP(RawMaterials[[#This Row],[Quote Year]],ChemPPI[],14,FALSE)*VLOOKUP(BasisYear,ChemPPI[],14,FALSE))</f>
        <v>5.7681656504065053</v>
      </c>
      <c r="AM280" s="373" t="str">
        <f t="shared" si="4"/>
        <v>$/lb (2016)</v>
      </c>
    </row>
    <row r="281" spans="1:39">
      <c r="A281" s="263" t="s">
        <v>1383</v>
      </c>
      <c r="B281" s="264"/>
      <c r="C281" s="271"/>
      <c r="D281" s="365"/>
      <c r="E281" s="264">
        <v>100</v>
      </c>
      <c r="F281" s="264"/>
      <c r="G281" s="271"/>
      <c r="H281" s="271"/>
      <c r="I281" s="268"/>
      <c r="J281" s="271"/>
      <c r="K281" s="271"/>
      <c r="L281" s="271"/>
      <c r="M281" s="271"/>
      <c r="N281" s="271"/>
      <c r="O281" s="271"/>
      <c r="P281" s="265">
        <v>0.45</v>
      </c>
      <c r="Q281" s="264">
        <v>1</v>
      </c>
      <c r="R281" s="264" t="s">
        <v>20</v>
      </c>
      <c r="S281" s="264">
        <v>2006</v>
      </c>
      <c r="T281" s="266" t="s">
        <v>163</v>
      </c>
      <c r="U281" s="267">
        <v>42653</v>
      </c>
      <c r="V281" s="269"/>
      <c r="W281" s="366">
        <f>COUNT(RawMaterials[[#This Row],[Lab Quantity 1]:[Lab Quantity 4]])</f>
        <v>0</v>
      </c>
      <c r="X2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1" s="367" t="e">
        <f>RawMaterials[[#This Row],[Lab Price 1]]/RawMaterials[[#This Row],[Lab Q Model Units 1]]</f>
        <v>#N/A</v>
      </c>
      <c r="AC281" s="367" t="e">
        <f>RawMaterials[[#This Row],[Lab Price 2]]/RawMaterials[[#This Row],[Lab Q Model Units 2]]</f>
        <v>#N/A</v>
      </c>
      <c r="AD281" s="367" t="e">
        <f>RawMaterials[[#This Row],[Lab Price 3]]/RawMaterials[[#This Row],[Lab Q Model Units 3]]</f>
        <v>#N/A</v>
      </c>
      <c r="AE281" s="367" t="e">
        <f>RawMaterials[[#This Row],[Lab Price 4]]/RawMaterials[[#This Row],[Lab Q Model Units 4]]</f>
        <v>#N/A</v>
      </c>
      <c r="AF281" s="367" t="str">
        <f ca="1">IF(RawMaterials[[#This Row],[Lab Quote Count]]&gt;1,SLOPE(LOG(INDIRECT("RawMaterials[@[Lab Unit P 1]:[Lab Unit P "&amp;RawMaterials[[#This Row],[Lab Quote Count]]&amp;"]]")),LOG(INDIRECT("RawMaterials[@[Lab Q Model Units 1]:[Lab Q Model Units "&amp;RawMaterials[[#This Row],[Lab Quote Count]]&amp;"]]"))),"")</f>
        <v/>
      </c>
      <c r="AG281" s="367" t="str">
        <f ca="1">IF(RawMaterials[[#This Row],[Lab Quote Count]]&gt;1,INTERCEPT(LOG(INDIRECT("RawMaterials[@[Lab Unit P 1]:[Lab Unit P "&amp;RawMaterials[[#This Row],[Lab Quote Count]]&amp;"]]")),LOG(INDIRECT("RawMaterials[@[Lab Q Model Units 1]:[Lab Q Model Units "&amp;RawMaterials[[#This Row],[Lab Quote Count]]&amp;"]]"))),"")</f>
        <v/>
      </c>
      <c r="AH281" s="368" t="str">
        <f>IF(RawMaterials[[#This Row],[Material Type]]="Metal Precursor","D13",IF(RawMaterials[[#This Row],[Material Type]]="Ligand","D13","D12"))</f>
        <v>D12</v>
      </c>
      <c r="AI281" s="369" t="str">
        <f ca="1">IF(RawMaterials[[#This Row],[Lab Quote Count]]&gt;1,10^RawMaterials[[#This Row],[Lab Log-Log Intercept]]*INDIRECT(RawMaterials[[#This Row],[Basis Cell]])^RawMaterials[[#This Row],[Lab Log-Log Slope]],"&gt;&gt;&gt; Enter 2 or more lab quotes &lt;&lt;&lt;")</f>
        <v>&gt;&gt;&gt; Enter 2 or more lab quotes &lt;&lt;&lt;</v>
      </c>
      <c r="AJ2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0.45</v>
      </c>
      <c r="AL281" s="372">
        <f>IF(ISTEXT(RawMaterials[[#This Row],[Unit price in quote year]]),"Check calcs",RawMaterials[[#This Row],[Unit price in quote year]]/VLOOKUP(RawMaterials[[#This Row],[Quote Year]],ChemPPI[],14,FALSE)*VLOOKUP(BasisYear,ChemPPI[],14,FALSE))</f>
        <v>0.61074695121951228</v>
      </c>
      <c r="AM281" s="373" t="str">
        <f t="shared" si="4"/>
        <v>$/lb (2016)</v>
      </c>
    </row>
    <row r="282" spans="1:39">
      <c r="A282" s="263" t="s">
        <v>1384</v>
      </c>
      <c r="B282" s="264"/>
      <c r="C282" s="271"/>
      <c r="D282" s="365"/>
      <c r="E282" s="264">
        <v>100</v>
      </c>
      <c r="F282" s="264"/>
      <c r="G282" s="271"/>
      <c r="H282" s="271"/>
      <c r="I282" s="268"/>
      <c r="J282" s="271"/>
      <c r="K282" s="271"/>
      <c r="L282" s="271"/>
      <c r="M282" s="271"/>
      <c r="N282" s="271"/>
      <c r="O282" s="271"/>
      <c r="P282" s="265">
        <v>244</v>
      </c>
      <c r="Q282" s="264">
        <v>1</v>
      </c>
      <c r="R282" s="264" t="s">
        <v>406</v>
      </c>
      <c r="S282" s="264">
        <v>2006</v>
      </c>
      <c r="T282" s="266" t="s">
        <v>163</v>
      </c>
      <c r="U282" s="267">
        <v>42653</v>
      </c>
      <c r="V282" s="269"/>
      <c r="W282" s="366">
        <f>COUNT(RawMaterials[[#This Row],[Lab Quantity 1]:[Lab Quantity 4]])</f>
        <v>0</v>
      </c>
      <c r="X2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2" s="367" t="e">
        <f>RawMaterials[[#This Row],[Lab Price 1]]/RawMaterials[[#This Row],[Lab Q Model Units 1]]</f>
        <v>#N/A</v>
      </c>
      <c r="AC282" s="367" t="e">
        <f>RawMaterials[[#This Row],[Lab Price 2]]/RawMaterials[[#This Row],[Lab Q Model Units 2]]</f>
        <v>#N/A</v>
      </c>
      <c r="AD282" s="367" t="e">
        <f>RawMaterials[[#This Row],[Lab Price 3]]/RawMaterials[[#This Row],[Lab Q Model Units 3]]</f>
        <v>#N/A</v>
      </c>
      <c r="AE282" s="367" t="e">
        <f>RawMaterials[[#This Row],[Lab Price 4]]/RawMaterials[[#This Row],[Lab Q Model Units 4]]</f>
        <v>#N/A</v>
      </c>
      <c r="AF282" s="367" t="str">
        <f ca="1">IF(RawMaterials[[#This Row],[Lab Quote Count]]&gt;1,SLOPE(LOG(INDIRECT("RawMaterials[@[Lab Unit P 1]:[Lab Unit P "&amp;RawMaterials[[#This Row],[Lab Quote Count]]&amp;"]]")),LOG(INDIRECT("RawMaterials[@[Lab Q Model Units 1]:[Lab Q Model Units "&amp;RawMaterials[[#This Row],[Lab Quote Count]]&amp;"]]"))),"")</f>
        <v/>
      </c>
      <c r="AG282" s="367" t="str">
        <f ca="1">IF(RawMaterials[[#This Row],[Lab Quote Count]]&gt;1,INTERCEPT(LOG(INDIRECT("RawMaterials[@[Lab Unit P 1]:[Lab Unit P "&amp;RawMaterials[[#This Row],[Lab Quote Count]]&amp;"]]")),LOG(INDIRECT("RawMaterials[@[Lab Q Model Units 1]:[Lab Q Model Units "&amp;RawMaterials[[#This Row],[Lab Quote Count]]&amp;"]]"))),"")</f>
        <v/>
      </c>
      <c r="AH282" s="368" t="str">
        <f>IF(RawMaterials[[#This Row],[Material Type]]="Metal Precursor","D13",IF(RawMaterials[[#This Row],[Material Type]]="Ligand","D13","D12"))</f>
        <v>D12</v>
      </c>
      <c r="AI282" s="369" t="str">
        <f ca="1">IF(RawMaterials[[#This Row],[Lab Quote Count]]&gt;1,10^RawMaterials[[#This Row],[Lab Log-Log Intercept]]*INDIRECT(RawMaterials[[#This Row],[Basis Cell]])^RawMaterials[[#This Row],[Lab Log-Log Slope]],"&gt;&gt;&gt; Enter 2 or more lab quotes &lt;&lt;&lt;")</f>
        <v>&gt;&gt;&gt; Enter 2 or more lab quotes &lt;&lt;&lt;</v>
      </c>
      <c r="AJ2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0.122</v>
      </c>
      <c r="AL282" s="372">
        <f>IF(ISTEXT(RawMaterials[[#This Row],[Unit price in quote year]]),"Check calcs",RawMaterials[[#This Row],[Unit price in quote year]]/VLOOKUP(RawMaterials[[#This Row],[Quote Year]],ChemPPI[],14,FALSE)*VLOOKUP(BasisYear,ChemPPI[],14,FALSE))</f>
        <v>0.16558028455284557</v>
      </c>
      <c r="AM282" s="373" t="str">
        <f t="shared" si="4"/>
        <v>$/lb (2016)</v>
      </c>
    </row>
    <row r="283" spans="1:39">
      <c r="A283" s="263" t="s">
        <v>1385</v>
      </c>
      <c r="B283" s="264"/>
      <c r="C283" s="271"/>
      <c r="D283" s="365"/>
      <c r="E283" s="264">
        <v>100</v>
      </c>
      <c r="F283" s="264"/>
      <c r="G283" s="271"/>
      <c r="H283" s="271"/>
      <c r="I283" s="268"/>
      <c r="J283" s="271"/>
      <c r="K283" s="271"/>
      <c r="L283" s="271"/>
      <c r="M283" s="271"/>
      <c r="N283" s="271"/>
      <c r="O283" s="271"/>
      <c r="P283" s="265">
        <v>370</v>
      </c>
      <c r="Q283" s="264">
        <v>1</v>
      </c>
      <c r="R283" s="264" t="s">
        <v>406</v>
      </c>
      <c r="S283" s="264">
        <v>2006</v>
      </c>
      <c r="T283" s="266" t="s">
        <v>163</v>
      </c>
      <c r="U283" s="267">
        <v>42653</v>
      </c>
      <c r="V283" s="269"/>
      <c r="W283" s="366">
        <f>COUNT(RawMaterials[[#This Row],[Lab Quantity 1]:[Lab Quantity 4]])</f>
        <v>0</v>
      </c>
      <c r="X2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3" s="367" t="e">
        <f>RawMaterials[[#This Row],[Lab Price 1]]/RawMaterials[[#This Row],[Lab Q Model Units 1]]</f>
        <v>#N/A</v>
      </c>
      <c r="AC283" s="367" t="e">
        <f>RawMaterials[[#This Row],[Lab Price 2]]/RawMaterials[[#This Row],[Lab Q Model Units 2]]</f>
        <v>#N/A</v>
      </c>
      <c r="AD283" s="367" t="e">
        <f>RawMaterials[[#This Row],[Lab Price 3]]/RawMaterials[[#This Row],[Lab Q Model Units 3]]</f>
        <v>#N/A</v>
      </c>
      <c r="AE283" s="367" t="e">
        <f>RawMaterials[[#This Row],[Lab Price 4]]/RawMaterials[[#This Row],[Lab Q Model Units 4]]</f>
        <v>#N/A</v>
      </c>
      <c r="AF283" s="367" t="str">
        <f ca="1">IF(RawMaterials[[#This Row],[Lab Quote Count]]&gt;1,SLOPE(LOG(INDIRECT("RawMaterials[@[Lab Unit P 1]:[Lab Unit P "&amp;RawMaterials[[#This Row],[Lab Quote Count]]&amp;"]]")),LOG(INDIRECT("RawMaterials[@[Lab Q Model Units 1]:[Lab Q Model Units "&amp;RawMaterials[[#This Row],[Lab Quote Count]]&amp;"]]"))),"")</f>
        <v/>
      </c>
      <c r="AG283" s="367" t="str">
        <f ca="1">IF(RawMaterials[[#This Row],[Lab Quote Count]]&gt;1,INTERCEPT(LOG(INDIRECT("RawMaterials[@[Lab Unit P 1]:[Lab Unit P "&amp;RawMaterials[[#This Row],[Lab Quote Count]]&amp;"]]")),LOG(INDIRECT("RawMaterials[@[Lab Q Model Units 1]:[Lab Q Model Units "&amp;RawMaterials[[#This Row],[Lab Quote Count]]&amp;"]]"))),"")</f>
        <v/>
      </c>
      <c r="AH283" s="368" t="str">
        <f>IF(RawMaterials[[#This Row],[Material Type]]="Metal Precursor","D13",IF(RawMaterials[[#This Row],[Material Type]]="Ligand","D13","D12"))</f>
        <v>D12</v>
      </c>
      <c r="AI283" s="369" t="str">
        <f ca="1">IF(RawMaterials[[#This Row],[Lab Quote Count]]&gt;1,10^RawMaterials[[#This Row],[Lab Log-Log Intercept]]*INDIRECT(RawMaterials[[#This Row],[Basis Cell]])^RawMaterials[[#This Row],[Lab Log-Log Slope]],"&gt;&gt;&gt; Enter 2 or more lab quotes &lt;&lt;&lt;")</f>
        <v>&gt;&gt;&gt; Enter 2 or more lab quotes &lt;&lt;&lt;</v>
      </c>
      <c r="AJ2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3" s="372">
        <f>IF(ISTEXT(RawMaterials[[#This Row],[Unit price in quote year]]),"Check calcs",RawMaterials[[#This Row],[Unit price in quote year]]/VLOOKUP(RawMaterials[[#This Row],[Quote Year]],ChemPPI[],14,FALSE)*VLOOKUP(BasisYear,ChemPPI[],14,FALSE))</f>
        <v>0.25108485772357725</v>
      </c>
      <c r="AM283" s="373" t="str">
        <f t="shared" si="4"/>
        <v>$/lb (2016)</v>
      </c>
    </row>
    <row r="284" spans="1:39">
      <c r="A284" s="263" t="s">
        <v>1386</v>
      </c>
      <c r="B284" s="264"/>
      <c r="C284" s="271"/>
      <c r="D284" s="365"/>
      <c r="E284" s="264">
        <v>100</v>
      </c>
      <c r="F284" s="264"/>
      <c r="G284" s="271"/>
      <c r="H284" s="271"/>
      <c r="I284" s="268"/>
      <c r="J284" s="271"/>
      <c r="K284" s="271"/>
      <c r="L284" s="271"/>
      <c r="M284" s="271"/>
      <c r="N284" s="271"/>
      <c r="O284" s="271"/>
      <c r="P284" s="265">
        <v>490</v>
      </c>
      <c r="Q284" s="264">
        <v>1</v>
      </c>
      <c r="R284" s="264" t="s">
        <v>406</v>
      </c>
      <c r="S284" s="264">
        <v>2006</v>
      </c>
      <c r="T284" s="266" t="s">
        <v>163</v>
      </c>
      <c r="U284" s="267">
        <v>42653</v>
      </c>
      <c r="V284" s="269"/>
      <c r="W284" s="366">
        <f>COUNT(RawMaterials[[#This Row],[Lab Quantity 1]:[Lab Quantity 4]])</f>
        <v>0</v>
      </c>
      <c r="X2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4" s="367" t="e">
        <f>RawMaterials[[#This Row],[Lab Price 1]]/RawMaterials[[#This Row],[Lab Q Model Units 1]]</f>
        <v>#N/A</v>
      </c>
      <c r="AC284" s="367" t="e">
        <f>RawMaterials[[#This Row],[Lab Price 2]]/RawMaterials[[#This Row],[Lab Q Model Units 2]]</f>
        <v>#N/A</v>
      </c>
      <c r="AD284" s="367" t="e">
        <f>RawMaterials[[#This Row],[Lab Price 3]]/RawMaterials[[#This Row],[Lab Q Model Units 3]]</f>
        <v>#N/A</v>
      </c>
      <c r="AE284" s="367" t="e">
        <f>RawMaterials[[#This Row],[Lab Price 4]]/RawMaterials[[#This Row],[Lab Q Model Units 4]]</f>
        <v>#N/A</v>
      </c>
      <c r="AF284" s="367" t="str">
        <f ca="1">IF(RawMaterials[[#This Row],[Lab Quote Count]]&gt;1,SLOPE(LOG(INDIRECT("RawMaterials[@[Lab Unit P 1]:[Lab Unit P "&amp;RawMaterials[[#This Row],[Lab Quote Count]]&amp;"]]")),LOG(INDIRECT("RawMaterials[@[Lab Q Model Units 1]:[Lab Q Model Units "&amp;RawMaterials[[#This Row],[Lab Quote Count]]&amp;"]]"))),"")</f>
        <v/>
      </c>
      <c r="AG284" s="367" t="str">
        <f ca="1">IF(RawMaterials[[#This Row],[Lab Quote Count]]&gt;1,INTERCEPT(LOG(INDIRECT("RawMaterials[@[Lab Unit P 1]:[Lab Unit P "&amp;RawMaterials[[#This Row],[Lab Quote Count]]&amp;"]]")),LOG(INDIRECT("RawMaterials[@[Lab Q Model Units 1]:[Lab Q Model Units "&amp;RawMaterials[[#This Row],[Lab Quote Count]]&amp;"]]"))),"")</f>
        <v/>
      </c>
      <c r="AH284" s="368" t="str">
        <f>IF(RawMaterials[[#This Row],[Material Type]]="Metal Precursor","D13",IF(RawMaterials[[#This Row],[Material Type]]="Ligand","D13","D12"))</f>
        <v>D12</v>
      </c>
      <c r="AI284" s="369" t="str">
        <f ca="1">IF(RawMaterials[[#This Row],[Lab Quote Count]]&gt;1,10^RawMaterials[[#This Row],[Lab Log-Log Intercept]]*INDIRECT(RawMaterials[[#This Row],[Basis Cell]])^RawMaterials[[#This Row],[Lab Log-Log Slope]],"&gt;&gt;&gt; Enter 2 or more lab quotes &lt;&lt;&lt;")</f>
        <v>&gt;&gt;&gt; Enter 2 or more lab quotes &lt;&lt;&lt;</v>
      </c>
      <c r="AJ2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0.245</v>
      </c>
      <c r="AL284" s="372">
        <f>IF(ISTEXT(RawMaterials[[#This Row],[Unit price in quote year]]),"Check calcs",RawMaterials[[#This Row],[Unit price in quote year]]/VLOOKUP(RawMaterials[[#This Row],[Quote Year]],ChemPPI[],14,FALSE)*VLOOKUP(BasisYear,ChemPPI[],14,FALSE))</f>
        <v>0.33251778455284559</v>
      </c>
      <c r="AM284" s="373" t="str">
        <f t="shared" si="4"/>
        <v>$/lb (2016)</v>
      </c>
    </row>
    <row r="285" spans="1:39">
      <c r="A285" s="263" t="s">
        <v>1387</v>
      </c>
      <c r="B285" s="264"/>
      <c r="C285" s="271"/>
      <c r="D285" s="365"/>
      <c r="E285" s="264">
        <v>100</v>
      </c>
      <c r="F285" s="264"/>
      <c r="G285" s="271"/>
      <c r="H285" s="271"/>
      <c r="I285" s="268"/>
      <c r="J285" s="271"/>
      <c r="K285" s="271"/>
      <c r="L285" s="271"/>
      <c r="M285" s="271"/>
      <c r="N285" s="271"/>
      <c r="O285" s="271"/>
      <c r="P285" s="265">
        <v>0.19750000000000001</v>
      </c>
      <c r="Q285" s="264">
        <v>1</v>
      </c>
      <c r="R285" s="264" t="s">
        <v>20</v>
      </c>
      <c r="S285" s="264">
        <v>2006</v>
      </c>
      <c r="T285" s="266" t="s">
        <v>163</v>
      </c>
      <c r="U285" s="267">
        <v>42653</v>
      </c>
      <c r="V285" s="269"/>
      <c r="W285" s="366">
        <f>COUNT(RawMaterials[[#This Row],[Lab Quantity 1]:[Lab Quantity 4]])</f>
        <v>0</v>
      </c>
      <c r="X2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5" s="367" t="e">
        <f>RawMaterials[[#This Row],[Lab Price 1]]/RawMaterials[[#This Row],[Lab Q Model Units 1]]</f>
        <v>#N/A</v>
      </c>
      <c r="AC285" s="367" t="e">
        <f>RawMaterials[[#This Row],[Lab Price 2]]/RawMaterials[[#This Row],[Lab Q Model Units 2]]</f>
        <v>#N/A</v>
      </c>
      <c r="AD285" s="367" t="e">
        <f>RawMaterials[[#This Row],[Lab Price 3]]/RawMaterials[[#This Row],[Lab Q Model Units 3]]</f>
        <v>#N/A</v>
      </c>
      <c r="AE285" s="367" t="e">
        <f>RawMaterials[[#This Row],[Lab Price 4]]/RawMaterials[[#This Row],[Lab Q Model Units 4]]</f>
        <v>#N/A</v>
      </c>
      <c r="AF285" s="367" t="str">
        <f ca="1">IF(RawMaterials[[#This Row],[Lab Quote Count]]&gt;1,SLOPE(LOG(INDIRECT("RawMaterials[@[Lab Unit P 1]:[Lab Unit P "&amp;RawMaterials[[#This Row],[Lab Quote Count]]&amp;"]]")),LOG(INDIRECT("RawMaterials[@[Lab Q Model Units 1]:[Lab Q Model Units "&amp;RawMaterials[[#This Row],[Lab Quote Count]]&amp;"]]"))),"")</f>
        <v/>
      </c>
      <c r="AG285" s="367" t="str">
        <f ca="1">IF(RawMaterials[[#This Row],[Lab Quote Count]]&gt;1,INTERCEPT(LOG(INDIRECT("RawMaterials[@[Lab Unit P 1]:[Lab Unit P "&amp;RawMaterials[[#This Row],[Lab Quote Count]]&amp;"]]")),LOG(INDIRECT("RawMaterials[@[Lab Q Model Units 1]:[Lab Q Model Units "&amp;RawMaterials[[#This Row],[Lab Quote Count]]&amp;"]]"))),"")</f>
        <v/>
      </c>
      <c r="AH285" s="368" t="str">
        <f>IF(RawMaterials[[#This Row],[Material Type]]="Metal Precursor","D13",IF(RawMaterials[[#This Row],[Material Type]]="Ligand","D13","D12"))</f>
        <v>D12</v>
      </c>
      <c r="AI285" s="369" t="str">
        <f ca="1">IF(RawMaterials[[#This Row],[Lab Quote Count]]&gt;1,10^RawMaterials[[#This Row],[Lab Log-Log Intercept]]*INDIRECT(RawMaterials[[#This Row],[Basis Cell]])^RawMaterials[[#This Row],[Lab Log-Log Slope]],"&gt;&gt;&gt; Enter 2 or more lab quotes &lt;&lt;&lt;")</f>
        <v>&gt;&gt;&gt; Enter 2 or more lab quotes &lt;&lt;&lt;</v>
      </c>
      <c r="AJ2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0.19750000000000001</v>
      </c>
      <c r="AL285" s="372">
        <f>IF(ISTEXT(RawMaterials[[#This Row],[Unit price in quote year]]),"Check calcs",RawMaterials[[#This Row],[Unit price in quote year]]/VLOOKUP(RawMaterials[[#This Row],[Quote Year]],ChemPPI[],14,FALSE)*VLOOKUP(BasisYear,ChemPPI[],14,FALSE))</f>
        <v>0.2680500508130082</v>
      </c>
      <c r="AM285" s="373" t="str">
        <f t="shared" si="4"/>
        <v>$/lb (2016)</v>
      </c>
    </row>
    <row r="286" spans="1:39">
      <c r="A286" s="263" t="s">
        <v>1388</v>
      </c>
      <c r="B286" s="264"/>
      <c r="C286" s="271"/>
      <c r="D286" s="365"/>
      <c r="E286" s="264">
        <v>100</v>
      </c>
      <c r="F286" s="264"/>
      <c r="G286" s="271"/>
      <c r="H286" s="271"/>
      <c r="I286" s="268"/>
      <c r="J286" s="271"/>
      <c r="K286" s="271"/>
      <c r="L286" s="271"/>
      <c r="M286" s="271"/>
      <c r="N286" s="271"/>
      <c r="O286" s="271"/>
      <c r="P286" s="265">
        <v>0.18</v>
      </c>
      <c r="Q286" s="264">
        <v>1</v>
      </c>
      <c r="R286" s="264" t="s">
        <v>20</v>
      </c>
      <c r="S286" s="264">
        <v>2006</v>
      </c>
      <c r="T286" s="266" t="s">
        <v>163</v>
      </c>
      <c r="U286" s="267">
        <v>42653</v>
      </c>
      <c r="V286" s="269"/>
      <c r="W286" s="366">
        <f>COUNT(RawMaterials[[#This Row],[Lab Quantity 1]:[Lab Quantity 4]])</f>
        <v>0</v>
      </c>
      <c r="X2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6" s="367" t="e">
        <f>RawMaterials[[#This Row],[Lab Price 1]]/RawMaterials[[#This Row],[Lab Q Model Units 1]]</f>
        <v>#N/A</v>
      </c>
      <c r="AC286" s="367" t="e">
        <f>RawMaterials[[#This Row],[Lab Price 2]]/RawMaterials[[#This Row],[Lab Q Model Units 2]]</f>
        <v>#N/A</v>
      </c>
      <c r="AD286" s="367" t="e">
        <f>RawMaterials[[#This Row],[Lab Price 3]]/RawMaterials[[#This Row],[Lab Q Model Units 3]]</f>
        <v>#N/A</v>
      </c>
      <c r="AE286" s="367" t="e">
        <f>RawMaterials[[#This Row],[Lab Price 4]]/RawMaterials[[#This Row],[Lab Q Model Units 4]]</f>
        <v>#N/A</v>
      </c>
      <c r="AF286" s="367" t="str">
        <f ca="1">IF(RawMaterials[[#This Row],[Lab Quote Count]]&gt;1,SLOPE(LOG(INDIRECT("RawMaterials[@[Lab Unit P 1]:[Lab Unit P "&amp;RawMaterials[[#This Row],[Lab Quote Count]]&amp;"]]")),LOG(INDIRECT("RawMaterials[@[Lab Q Model Units 1]:[Lab Q Model Units "&amp;RawMaterials[[#This Row],[Lab Quote Count]]&amp;"]]"))),"")</f>
        <v/>
      </c>
      <c r="AG286" s="367" t="str">
        <f ca="1">IF(RawMaterials[[#This Row],[Lab Quote Count]]&gt;1,INTERCEPT(LOG(INDIRECT("RawMaterials[@[Lab Unit P 1]:[Lab Unit P "&amp;RawMaterials[[#This Row],[Lab Quote Count]]&amp;"]]")),LOG(INDIRECT("RawMaterials[@[Lab Q Model Units 1]:[Lab Q Model Units "&amp;RawMaterials[[#This Row],[Lab Quote Count]]&amp;"]]"))),"")</f>
        <v/>
      </c>
      <c r="AH286" s="368" t="str">
        <f>IF(RawMaterials[[#This Row],[Material Type]]="Metal Precursor","D13",IF(RawMaterials[[#This Row],[Material Type]]="Ligand","D13","D12"))</f>
        <v>D12</v>
      </c>
      <c r="AI286" s="369" t="str">
        <f ca="1">IF(RawMaterials[[#This Row],[Lab Quote Count]]&gt;1,10^RawMaterials[[#This Row],[Lab Log-Log Intercept]]*INDIRECT(RawMaterials[[#This Row],[Basis Cell]])^RawMaterials[[#This Row],[Lab Log-Log Slope]],"&gt;&gt;&gt; Enter 2 or more lab quotes &lt;&lt;&lt;")</f>
        <v>&gt;&gt;&gt; Enter 2 or more lab quotes &lt;&lt;&lt;</v>
      </c>
      <c r="AJ2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6" s="372">
        <f>IF(ISTEXT(RawMaterials[[#This Row],[Unit price in quote year]]),"Check calcs",RawMaterials[[#This Row],[Unit price in quote year]]/VLOOKUP(RawMaterials[[#This Row],[Quote Year]],ChemPPI[],14,FALSE)*VLOOKUP(BasisYear,ChemPPI[],14,FALSE))</f>
        <v>0.2442987804878049</v>
      </c>
      <c r="AM286" s="373" t="str">
        <f t="shared" si="4"/>
        <v>$/lb (2016)</v>
      </c>
    </row>
    <row r="287" spans="1:39">
      <c r="A287" s="263" t="s">
        <v>1389</v>
      </c>
      <c r="B287" s="264"/>
      <c r="C287" s="271"/>
      <c r="D287" s="365"/>
      <c r="E287" s="264">
        <v>100</v>
      </c>
      <c r="F287" s="264"/>
      <c r="G287" s="271"/>
      <c r="H287" s="271"/>
      <c r="I287" s="268"/>
      <c r="J287" s="271"/>
      <c r="K287" s="271"/>
      <c r="L287" s="271"/>
      <c r="M287" s="271"/>
      <c r="N287" s="271"/>
      <c r="O287" s="271"/>
      <c r="P287" s="265">
        <v>0.19500000000000001</v>
      </c>
      <c r="Q287" s="264">
        <v>1</v>
      </c>
      <c r="R287" s="264" t="s">
        <v>20</v>
      </c>
      <c r="S287" s="264">
        <v>2006</v>
      </c>
      <c r="T287" s="266" t="s">
        <v>163</v>
      </c>
      <c r="U287" s="267">
        <v>42653</v>
      </c>
      <c r="V287" s="269"/>
      <c r="W287" s="366">
        <f>COUNT(RawMaterials[[#This Row],[Lab Quantity 1]:[Lab Quantity 4]])</f>
        <v>0</v>
      </c>
      <c r="X2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7" s="367" t="e">
        <f>RawMaterials[[#This Row],[Lab Price 1]]/RawMaterials[[#This Row],[Lab Q Model Units 1]]</f>
        <v>#N/A</v>
      </c>
      <c r="AC287" s="367" t="e">
        <f>RawMaterials[[#This Row],[Lab Price 2]]/RawMaterials[[#This Row],[Lab Q Model Units 2]]</f>
        <v>#N/A</v>
      </c>
      <c r="AD287" s="367" t="e">
        <f>RawMaterials[[#This Row],[Lab Price 3]]/RawMaterials[[#This Row],[Lab Q Model Units 3]]</f>
        <v>#N/A</v>
      </c>
      <c r="AE287" s="367" t="e">
        <f>RawMaterials[[#This Row],[Lab Price 4]]/RawMaterials[[#This Row],[Lab Q Model Units 4]]</f>
        <v>#N/A</v>
      </c>
      <c r="AF287" s="367" t="str">
        <f ca="1">IF(RawMaterials[[#This Row],[Lab Quote Count]]&gt;1,SLOPE(LOG(INDIRECT("RawMaterials[@[Lab Unit P 1]:[Lab Unit P "&amp;RawMaterials[[#This Row],[Lab Quote Count]]&amp;"]]")),LOG(INDIRECT("RawMaterials[@[Lab Q Model Units 1]:[Lab Q Model Units "&amp;RawMaterials[[#This Row],[Lab Quote Count]]&amp;"]]"))),"")</f>
        <v/>
      </c>
      <c r="AG287" s="367" t="str">
        <f ca="1">IF(RawMaterials[[#This Row],[Lab Quote Count]]&gt;1,INTERCEPT(LOG(INDIRECT("RawMaterials[@[Lab Unit P 1]:[Lab Unit P "&amp;RawMaterials[[#This Row],[Lab Quote Count]]&amp;"]]")),LOG(INDIRECT("RawMaterials[@[Lab Q Model Units 1]:[Lab Q Model Units "&amp;RawMaterials[[#This Row],[Lab Quote Count]]&amp;"]]"))),"")</f>
        <v/>
      </c>
      <c r="AH287" s="368" t="str">
        <f>IF(RawMaterials[[#This Row],[Material Type]]="Metal Precursor","D13",IF(RawMaterials[[#This Row],[Material Type]]="Ligand","D13","D12"))</f>
        <v>D12</v>
      </c>
      <c r="AI287" s="369" t="str">
        <f ca="1">IF(RawMaterials[[#This Row],[Lab Quote Count]]&gt;1,10^RawMaterials[[#This Row],[Lab Log-Log Intercept]]*INDIRECT(RawMaterials[[#This Row],[Basis Cell]])^RawMaterials[[#This Row],[Lab Log-Log Slope]],"&gt;&gt;&gt; Enter 2 or more lab quotes &lt;&lt;&lt;")</f>
        <v>&gt;&gt;&gt; Enter 2 or more lab quotes &lt;&lt;&lt;</v>
      </c>
      <c r="AJ2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0.19500000000000001</v>
      </c>
      <c r="AL287" s="372">
        <f>IF(ISTEXT(RawMaterials[[#This Row],[Unit price in quote year]]),"Check calcs",RawMaterials[[#This Row],[Unit price in quote year]]/VLOOKUP(RawMaterials[[#This Row],[Quote Year]],ChemPPI[],14,FALSE)*VLOOKUP(BasisYear,ChemPPI[],14,FALSE))</f>
        <v>0.264657012195122</v>
      </c>
      <c r="AM287" s="373" t="str">
        <f t="shared" si="4"/>
        <v>$/lb (2016)</v>
      </c>
    </row>
    <row r="288" spans="1:39">
      <c r="A288" s="263" t="s">
        <v>1390</v>
      </c>
      <c r="B288" s="264"/>
      <c r="C288" s="271"/>
      <c r="D288" s="365"/>
      <c r="E288" s="264">
        <v>100</v>
      </c>
      <c r="F288" s="264"/>
      <c r="G288" s="271"/>
      <c r="H288" s="271"/>
      <c r="I288" s="268"/>
      <c r="J288" s="271"/>
      <c r="K288" s="271"/>
      <c r="L288" s="271"/>
      <c r="M288" s="271"/>
      <c r="N288" s="271"/>
      <c r="O288" s="271"/>
      <c r="P288" s="265">
        <v>0.18</v>
      </c>
      <c r="Q288" s="264">
        <v>1</v>
      </c>
      <c r="R288" s="264" t="s">
        <v>20</v>
      </c>
      <c r="S288" s="264">
        <v>2006</v>
      </c>
      <c r="T288" s="266" t="s">
        <v>163</v>
      </c>
      <c r="U288" s="267">
        <v>42653</v>
      </c>
      <c r="V288" s="269"/>
      <c r="W288" s="366">
        <f>COUNT(RawMaterials[[#This Row],[Lab Quantity 1]:[Lab Quantity 4]])</f>
        <v>0</v>
      </c>
      <c r="X2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8" s="367" t="e">
        <f>RawMaterials[[#This Row],[Lab Price 1]]/RawMaterials[[#This Row],[Lab Q Model Units 1]]</f>
        <v>#N/A</v>
      </c>
      <c r="AC288" s="367" t="e">
        <f>RawMaterials[[#This Row],[Lab Price 2]]/RawMaterials[[#This Row],[Lab Q Model Units 2]]</f>
        <v>#N/A</v>
      </c>
      <c r="AD288" s="367" t="e">
        <f>RawMaterials[[#This Row],[Lab Price 3]]/RawMaterials[[#This Row],[Lab Q Model Units 3]]</f>
        <v>#N/A</v>
      </c>
      <c r="AE288" s="367" t="e">
        <f>RawMaterials[[#This Row],[Lab Price 4]]/RawMaterials[[#This Row],[Lab Q Model Units 4]]</f>
        <v>#N/A</v>
      </c>
      <c r="AF288" s="367" t="str">
        <f ca="1">IF(RawMaterials[[#This Row],[Lab Quote Count]]&gt;1,SLOPE(LOG(INDIRECT("RawMaterials[@[Lab Unit P 1]:[Lab Unit P "&amp;RawMaterials[[#This Row],[Lab Quote Count]]&amp;"]]")),LOG(INDIRECT("RawMaterials[@[Lab Q Model Units 1]:[Lab Q Model Units "&amp;RawMaterials[[#This Row],[Lab Quote Count]]&amp;"]]"))),"")</f>
        <v/>
      </c>
      <c r="AG288" s="367" t="str">
        <f ca="1">IF(RawMaterials[[#This Row],[Lab Quote Count]]&gt;1,INTERCEPT(LOG(INDIRECT("RawMaterials[@[Lab Unit P 1]:[Lab Unit P "&amp;RawMaterials[[#This Row],[Lab Quote Count]]&amp;"]]")),LOG(INDIRECT("RawMaterials[@[Lab Q Model Units 1]:[Lab Q Model Units "&amp;RawMaterials[[#This Row],[Lab Quote Count]]&amp;"]]"))),"")</f>
        <v/>
      </c>
      <c r="AH288" s="368" t="str">
        <f>IF(RawMaterials[[#This Row],[Material Type]]="Metal Precursor","D13",IF(RawMaterials[[#This Row],[Material Type]]="Ligand","D13","D12"))</f>
        <v>D12</v>
      </c>
      <c r="AI288" s="369" t="str">
        <f ca="1">IF(RawMaterials[[#This Row],[Lab Quote Count]]&gt;1,10^RawMaterials[[#This Row],[Lab Log-Log Intercept]]*INDIRECT(RawMaterials[[#This Row],[Basis Cell]])^RawMaterials[[#This Row],[Lab Log-Log Slope]],"&gt;&gt;&gt; Enter 2 or more lab quotes &lt;&lt;&lt;")</f>
        <v>&gt;&gt;&gt; Enter 2 or more lab quotes &lt;&lt;&lt;</v>
      </c>
      <c r="AJ2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288" s="372">
        <f>IF(ISTEXT(RawMaterials[[#This Row],[Unit price in quote year]]),"Check calcs",RawMaterials[[#This Row],[Unit price in quote year]]/VLOOKUP(RawMaterials[[#This Row],[Quote Year]],ChemPPI[],14,FALSE)*VLOOKUP(BasisYear,ChemPPI[],14,FALSE))</f>
        <v>0.2442987804878049</v>
      </c>
      <c r="AM288" s="373" t="str">
        <f t="shared" si="4"/>
        <v>$/lb (2016)</v>
      </c>
    </row>
    <row r="289" spans="1:39">
      <c r="A289" s="263" t="s">
        <v>1391</v>
      </c>
      <c r="B289" s="264"/>
      <c r="C289" s="271"/>
      <c r="D289" s="365"/>
      <c r="E289" s="264">
        <v>100</v>
      </c>
      <c r="F289" s="264"/>
      <c r="G289" s="271"/>
      <c r="H289" s="271"/>
      <c r="I289" s="268"/>
      <c r="J289" s="271"/>
      <c r="K289" s="271"/>
      <c r="L289" s="271"/>
      <c r="M289" s="271"/>
      <c r="N289" s="271"/>
      <c r="O289" s="271"/>
      <c r="P289" s="265">
        <v>0.185</v>
      </c>
      <c r="Q289" s="264">
        <v>1</v>
      </c>
      <c r="R289" s="264" t="s">
        <v>20</v>
      </c>
      <c r="S289" s="264">
        <v>2006</v>
      </c>
      <c r="T289" s="266" t="s">
        <v>163</v>
      </c>
      <c r="U289" s="267">
        <v>42653</v>
      </c>
      <c r="V289" s="269"/>
      <c r="W289" s="366">
        <f>COUNT(RawMaterials[[#This Row],[Lab Quantity 1]:[Lab Quantity 4]])</f>
        <v>0</v>
      </c>
      <c r="X2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89" s="367" t="e">
        <f>RawMaterials[[#This Row],[Lab Price 1]]/RawMaterials[[#This Row],[Lab Q Model Units 1]]</f>
        <v>#N/A</v>
      </c>
      <c r="AC289" s="367" t="e">
        <f>RawMaterials[[#This Row],[Lab Price 2]]/RawMaterials[[#This Row],[Lab Q Model Units 2]]</f>
        <v>#N/A</v>
      </c>
      <c r="AD289" s="367" t="e">
        <f>RawMaterials[[#This Row],[Lab Price 3]]/RawMaterials[[#This Row],[Lab Q Model Units 3]]</f>
        <v>#N/A</v>
      </c>
      <c r="AE289" s="367" t="e">
        <f>RawMaterials[[#This Row],[Lab Price 4]]/RawMaterials[[#This Row],[Lab Q Model Units 4]]</f>
        <v>#N/A</v>
      </c>
      <c r="AF289" s="367" t="str">
        <f ca="1">IF(RawMaterials[[#This Row],[Lab Quote Count]]&gt;1,SLOPE(LOG(INDIRECT("RawMaterials[@[Lab Unit P 1]:[Lab Unit P "&amp;RawMaterials[[#This Row],[Lab Quote Count]]&amp;"]]")),LOG(INDIRECT("RawMaterials[@[Lab Q Model Units 1]:[Lab Q Model Units "&amp;RawMaterials[[#This Row],[Lab Quote Count]]&amp;"]]"))),"")</f>
        <v/>
      </c>
      <c r="AG289" s="367" t="str">
        <f ca="1">IF(RawMaterials[[#This Row],[Lab Quote Count]]&gt;1,INTERCEPT(LOG(INDIRECT("RawMaterials[@[Lab Unit P 1]:[Lab Unit P "&amp;RawMaterials[[#This Row],[Lab Quote Count]]&amp;"]]")),LOG(INDIRECT("RawMaterials[@[Lab Q Model Units 1]:[Lab Q Model Units "&amp;RawMaterials[[#This Row],[Lab Quote Count]]&amp;"]]"))),"")</f>
        <v/>
      </c>
      <c r="AH289" s="368" t="str">
        <f>IF(RawMaterials[[#This Row],[Material Type]]="Metal Precursor","D13",IF(RawMaterials[[#This Row],[Material Type]]="Ligand","D13","D12"))</f>
        <v>D12</v>
      </c>
      <c r="AI289" s="369" t="str">
        <f ca="1">IF(RawMaterials[[#This Row],[Lab Quote Count]]&gt;1,10^RawMaterials[[#This Row],[Lab Log-Log Intercept]]*INDIRECT(RawMaterials[[#This Row],[Basis Cell]])^RawMaterials[[#This Row],[Lab Log-Log Slope]],"&gt;&gt;&gt; Enter 2 or more lab quotes &lt;&lt;&lt;")</f>
        <v>&gt;&gt;&gt; Enter 2 or more lab quotes &lt;&lt;&lt;</v>
      </c>
      <c r="AJ2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0.185</v>
      </c>
      <c r="AL289" s="372">
        <f>IF(ISTEXT(RawMaterials[[#This Row],[Unit price in quote year]]),"Check calcs",RawMaterials[[#This Row],[Unit price in quote year]]/VLOOKUP(RawMaterials[[#This Row],[Quote Year]],ChemPPI[],14,FALSE)*VLOOKUP(BasisYear,ChemPPI[],14,FALSE))</f>
        <v>0.25108485772357725</v>
      </c>
      <c r="AM289" s="373" t="str">
        <f t="shared" si="4"/>
        <v>$/lb (2016)</v>
      </c>
    </row>
    <row r="290" spans="1:39">
      <c r="A290" s="263" t="s">
        <v>1392</v>
      </c>
      <c r="B290" s="264"/>
      <c r="C290" s="271"/>
      <c r="D290" s="365"/>
      <c r="E290" s="264">
        <v>100</v>
      </c>
      <c r="F290" s="264"/>
      <c r="G290" s="271"/>
      <c r="H290" s="271"/>
      <c r="I290" s="268"/>
      <c r="J290" s="271"/>
      <c r="K290" s="271"/>
      <c r="L290" s="271"/>
      <c r="M290" s="271"/>
      <c r="N290" s="271"/>
      <c r="O290" s="271"/>
      <c r="P290" s="265">
        <v>0.52500000000000002</v>
      </c>
      <c r="Q290" s="264">
        <v>1</v>
      </c>
      <c r="R290" s="264" t="s">
        <v>20</v>
      </c>
      <c r="S290" s="264">
        <v>2006</v>
      </c>
      <c r="T290" s="266" t="s">
        <v>163</v>
      </c>
      <c r="U290" s="267">
        <v>42653</v>
      </c>
      <c r="V290" s="269"/>
      <c r="W290" s="366">
        <f>COUNT(RawMaterials[[#This Row],[Lab Quantity 1]:[Lab Quantity 4]])</f>
        <v>0</v>
      </c>
      <c r="X2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0" s="367" t="e">
        <f>RawMaterials[[#This Row],[Lab Price 1]]/RawMaterials[[#This Row],[Lab Q Model Units 1]]</f>
        <v>#N/A</v>
      </c>
      <c r="AC290" s="367" t="e">
        <f>RawMaterials[[#This Row],[Lab Price 2]]/RawMaterials[[#This Row],[Lab Q Model Units 2]]</f>
        <v>#N/A</v>
      </c>
      <c r="AD290" s="367" t="e">
        <f>RawMaterials[[#This Row],[Lab Price 3]]/RawMaterials[[#This Row],[Lab Q Model Units 3]]</f>
        <v>#N/A</v>
      </c>
      <c r="AE290" s="367" t="e">
        <f>RawMaterials[[#This Row],[Lab Price 4]]/RawMaterials[[#This Row],[Lab Q Model Units 4]]</f>
        <v>#N/A</v>
      </c>
      <c r="AF290" s="367" t="str">
        <f ca="1">IF(RawMaterials[[#This Row],[Lab Quote Count]]&gt;1,SLOPE(LOG(INDIRECT("RawMaterials[@[Lab Unit P 1]:[Lab Unit P "&amp;RawMaterials[[#This Row],[Lab Quote Count]]&amp;"]]")),LOG(INDIRECT("RawMaterials[@[Lab Q Model Units 1]:[Lab Q Model Units "&amp;RawMaterials[[#This Row],[Lab Quote Count]]&amp;"]]"))),"")</f>
        <v/>
      </c>
      <c r="AG290" s="367" t="str">
        <f ca="1">IF(RawMaterials[[#This Row],[Lab Quote Count]]&gt;1,INTERCEPT(LOG(INDIRECT("RawMaterials[@[Lab Unit P 1]:[Lab Unit P "&amp;RawMaterials[[#This Row],[Lab Quote Count]]&amp;"]]")),LOG(INDIRECT("RawMaterials[@[Lab Q Model Units 1]:[Lab Q Model Units "&amp;RawMaterials[[#This Row],[Lab Quote Count]]&amp;"]]"))),"")</f>
        <v/>
      </c>
      <c r="AH290" s="368" t="str">
        <f>IF(RawMaterials[[#This Row],[Material Type]]="Metal Precursor","D13",IF(RawMaterials[[#This Row],[Material Type]]="Ligand","D13","D12"))</f>
        <v>D12</v>
      </c>
      <c r="AI290" s="369" t="str">
        <f ca="1">IF(RawMaterials[[#This Row],[Lab Quote Count]]&gt;1,10^RawMaterials[[#This Row],[Lab Log-Log Intercept]]*INDIRECT(RawMaterials[[#This Row],[Basis Cell]])^RawMaterials[[#This Row],[Lab Log-Log Slope]],"&gt;&gt;&gt; Enter 2 or more lab quotes &lt;&lt;&lt;")</f>
        <v>&gt;&gt;&gt; Enter 2 or more lab quotes &lt;&lt;&lt;</v>
      </c>
      <c r="AJ2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290" s="372">
        <f>IF(ISTEXT(RawMaterials[[#This Row],[Unit price in quote year]]),"Check calcs",RawMaterials[[#This Row],[Unit price in quote year]]/VLOOKUP(RawMaterials[[#This Row],[Quote Year]],ChemPPI[],14,FALSE)*VLOOKUP(BasisYear,ChemPPI[],14,FALSE))</f>
        <v>0.71253810975609766</v>
      </c>
      <c r="AM290" s="373" t="str">
        <f t="shared" si="4"/>
        <v>$/lb (2016)</v>
      </c>
    </row>
    <row r="291" spans="1:39">
      <c r="A291" s="263" t="s">
        <v>1393</v>
      </c>
      <c r="B291" s="264"/>
      <c r="C291" s="271"/>
      <c r="D291" s="365"/>
      <c r="E291" s="264">
        <v>100</v>
      </c>
      <c r="F291" s="264"/>
      <c r="G291" s="271"/>
      <c r="H291" s="271"/>
      <c r="I291" s="268"/>
      <c r="J291" s="271"/>
      <c r="K291" s="271"/>
      <c r="L291" s="271"/>
      <c r="M291" s="271"/>
      <c r="N291" s="271"/>
      <c r="O291" s="271"/>
      <c r="P291" s="265">
        <v>0.7</v>
      </c>
      <c r="Q291" s="264">
        <v>1</v>
      </c>
      <c r="R291" s="264" t="s">
        <v>20</v>
      </c>
      <c r="S291" s="264">
        <v>2006</v>
      </c>
      <c r="T291" s="266" t="s">
        <v>163</v>
      </c>
      <c r="U291" s="267">
        <v>42653</v>
      </c>
      <c r="V291" s="269"/>
      <c r="W291" s="366">
        <f>COUNT(RawMaterials[[#This Row],[Lab Quantity 1]:[Lab Quantity 4]])</f>
        <v>0</v>
      </c>
      <c r="X2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1" s="367" t="e">
        <f>RawMaterials[[#This Row],[Lab Price 1]]/RawMaterials[[#This Row],[Lab Q Model Units 1]]</f>
        <v>#N/A</v>
      </c>
      <c r="AC291" s="367" t="e">
        <f>RawMaterials[[#This Row],[Lab Price 2]]/RawMaterials[[#This Row],[Lab Q Model Units 2]]</f>
        <v>#N/A</v>
      </c>
      <c r="AD291" s="367" t="e">
        <f>RawMaterials[[#This Row],[Lab Price 3]]/RawMaterials[[#This Row],[Lab Q Model Units 3]]</f>
        <v>#N/A</v>
      </c>
      <c r="AE291" s="367" t="e">
        <f>RawMaterials[[#This Row],[Lab Price 4]]/RawMaterials[[#This Row],[Lab Q Model Units 4]]</f>
        <v>#N/A</v>
      </c>
      <c r="AF291" s="367" t="str">
        <f ca="1">IF(RawMaterials[[#This Row],[Lab Quote Count]]&gt;1,SLOPE(LOG(INDIRECT("RawMaterials[@[Lab Unit P 1]:[Lab Unit P "&amp;RawMaterials[[#This Row],[Lab Quote Count]]&amp;"]]")),LOG(INDIRECT("RawMaterials[@[Lab Q Model Units 1]:[Lab Q Model Units "&amp;RawMaterials[[#This Row],[Lab Quote Count]]&amp;"]]"))),"")</f>
        <v/>
      </c>
      <c r="AG291" s="367" t="str">
        <f ca="1">IF(RawMaterials[[#This Row],[Lab Quote Count]]&gt;1,INTERCEPT(LOG(INDIRECT("RawMaterials[@[Lab Unit P 1]:[Lab Unit P "&amp;RawMaterials[[#This Row],[Lab Quote Count]]&amp;"]]")),LOG(INDIRECT("RawMaterials[@[Lab Q Model Units 1]:[Lab Q Model Units "&amp;RawMaterials[[#This Row],[Lab Quote Count]]&amp;"]]"))),"")</f>
        <v/>
      </c>
      <c r="AH291" s="368" t="str">
        <f>IF(RawMaterials[[#This Row],[Material Type]]="Metal Precursor","D13",IF(RawMaterials[[#This Row],[Material Type]]="Ligand","D13","D12"))</f>
        <v>D12</v>
      </c>
      <c r="AI291" s="369" t="str">
        <f ca="1">IF(RawMaterials[[#This Row],[Lab Quote Count]]&gt;1,10^RawMaterials[[#This Row],[Lab Log-Log Intercept]]*INDIRECT(RawMaterials[[#This Row],[Basis Cell]])^RawMaterials[[#This Row],[Lab Log-Log Slope]],"&gt;&gt;&gt; Enter 2 or more lab quotes &lt;&lt;&lt;")</f>
        <v>&gt;&gt;&gt; Enter 2 or more lab quotes &lt;&lt;&lt;</v>
      </c>
      <c r="AJ2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291" s="372">
        <f>IF(ISTEXT(RawMaterials[[#This Row],[Unit price in quote year]]),"Check calcs",RawMaterials[[#This Row],[Unit price in quote year]]/VLOOKUP(RawMaterials[[#This Row],[Quote Year]],ChemPPI[],14,FALSE)*VLOOKUP(BasisYear,ChemPPI[],14,FALSE))</f>
        <v>0.95005081300813021</v>
      </c>
      <c r="AM291" s="373" t="str">
        <f t="shared" si="4"/>
        <v>$/lb (2016)</v>
      </c>
    </row>
    <row r="292" spans="1:39">
      <c r="A292" s="263" t="s">
        <v>1394</v>
      </c>
      <c r="B292" s="264"/>
      <c r="C292" s="271"/>
      <c r="D292" s="365"/>
      <c r="E292" s="264">
        <v>100</v>
      </c>
      <c r="F292" s="264"/>
      <c r="G292" s="271"/>
      <c r="H292" s="271"/>
      <c r="I292" s="268"/>
      <c r="J292" s="271"/>
      <c r="K292" s="271"/>
      <c r="L292" s="271"/>
      <c r="M292" s="271"/>
      <c r="N292" s="271"/>
      <c r="O292" s="271"/>
      <c r="P292" s="265">
        <v>0.82499999999999996</v>
      </c>
      <c r="Q292" s="264">
        <v>1</v>
      </c>
      <c r="R292" s="264" t="s">
        <v>20</v>
      </c>
      <c r="S292" s="264">
        <v>2006</v>
      </c>
      <c r="T292" s="266" t="s">
        <v>163</v>
      </c>
      <c r="U292" s="267">
        <v>42653</v>
      </c>
      <c r="V292" s="269"/>
      <c r="W292" s="366">
        <f>COUNT(RawMaterials[[#This Row],[Lab Quantity 1]:[Lab Quantity 4]])</f>
        <v>0</v>
      </c>
      <c r="X2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2" s="367" t="e">
        <f>RawMaterials[[#This Row],[Lab Price 1]]/RawMaterials[[#This Row],[Lab Q Model Units 1]]</f>
        <v>#N/A</v>
      </c>
      <c r="AC292" s="367" t="e">
        <f>RawMaterials[[#This Row],[Lab Price 2]]/RawMaterials[[#This Row],[Lab Q Model Units 2]]</f>
        <v>#N/A</v>
      </c>
      <c r="AD292" s="367" t="e">
        <f>RawMaterials[[#This Row],[Lab Price 3]]/RawMaterials[[#This Row],[Lab Q Model Units 3]]</f>
        <v>#N/A</v>
      </c>
      <c r="AE292" s="367" t="e">
        <f>RawMaterials[[#This Row],[Lab Price 4]]/RawMaterials[[#This Row],[Lab Q Model Units 4]]</f>
        <v>#N/A</v>
      </c>
      <c r="AF292" s="367" t="str">
        <f ca="1">IF(RawMaterials[[#This Row],[Lab Quote Count]]&gt;1,SLOPE(LOG(INDIRECT("RawMaterials[@[Lab Unit P 1]:[Lab Unit P "&amp;RawMaterials[[#This Row],[Lab Quote Count]]&amp;"]]")),LOG(INDIRECT("RawMaterials[@[Lab Q Model Units 1]:[Lab Q Model Units "&amp;RawMaterials[[#This Row],[Lab Quote Count]]&amp;"]]"))),"")</f>
        <v/>
      </c>
      <c r="AG292" s="367" t="str">
        <f ca="1">IF(RawMaterials[[#This Row],[Lab Quote Count]]&gt;1,INTERCEPT(LOG(INDIRECT("RawMaterials[@[Lab Unit P 1]:[Lab Unit P "&amp;RawMaterials[[#This Row],[Lab Quote Count]]&amp;"]]")),LOG(INDIRECT("RawMaterials[@[Lab Q Model Units 1]:[Lab Q Model Units "&amp;RawMaterials[[#This Row],[Lab Quote Count]]&amp;"]]"))),"")</f>
        <v/>
      </c>
      <c r="AH292" s="368" t="str">
        <f>IF(RawMaterials[[#This Row],[Material Type]]="Metal Precursor","D13",IF(RawMaterials[[#This Row],[Material Type]]="Ligand","D13","D12"))</f>
        <v>D12</v>
      </c>
      <c r="AI292" s="369" t="str">
        <f ca="1">IF(RawMaterials[[#This Row],[Lab Quote Count]]&gt;1,10^RawMaterials[[#This Row],[Lab Log-Log Intercept]]*INDIRECT(RawMaterials[[#This Row],[Basis Cell]])^RawMaterials[[#This Row],[Lab Log-Log Slope]],"&gt;&gt;&gt; Enter 2 or more lab quotes &lt;&lt;&lt;")</f>
        <v>&gt;&gt;&gt; Enter 2 or more lab quotes &lt;&lt;&lt;</v>
      </c>
      <c r="AJ2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292" s="372">
        <f>IF(ISTEXT(RawMaterials[[#This Row],[Unit price in quote year]]),"Check calcs",RawMaterials[[#This Row],[Unit price in quote year]]/VLOOKUP(RawMaterials[[#This Row],[Quote Year]],ChemPPI[],14,FALSE)*VLOOKUP(BasisYear,ChemPPI[],14,FALSE))</f>
        <v>1.1197027439024392</v>
      </c>
      <c r="AM292" s="373" t="str">
        <f t="shared" si="4"/>
        <v>$/lb (2016)</v>
      </c>
    </row>
    <row r="293" spans="1:39">
      <c r="A293" s="263" t="s">
        <v>1395</v>
      </c>
      <c r="B293" s="264"/>
      <c r="C293" s="271"/>
      <c r="D293" s="365"/>
      <c r="E293" s="264">
        <v>100</v>
      </c>
      <c r="F293" s="264"/>
      <c r="G293" s="271"/>
      <c r="H293" s="271"/>
      <c r="I293" s="268"/>
      <c r="J293" s="271"/>
      <c r="K293" s="271"/>
      <c r="L293" s="271"/>
      <c r="M293" s="271"/>
      <c r="N293" s="271"/>
      <c r="O293" s="271"/>
      <c r="P293" s="265">
        <v>3.5</v>
      </c>
      <c r="Q293" s="264">
        <v>1</v>
      </c>
      <c r="R293" s="264" t="s">
        <v>20</v>
      </c>
      <c r="S293" s="264">
        <v>2006</v>
      </c>
      <c r="T293" s="266" t="s">
        <v>163</v>
      </c>
      <c r="U293" s="267">
        <v>42653</v>
      </c>
      <c r="V293" s="269"/>
      <c r="W293" s="366">
        <f>COUNT(RawMaterials[[#This Row],[Lab Quantity 1]:[Lab Quantity 4]])</f>
        <v>0</v>
      </c>
      <c r="X2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3" s="367" t="e">
        <f>RawMaterials[[#This Row],[Lab Price 1]]/RawMaterials[[#This Row],[Lab Q Model Units 1]]</f>
        <v>#N/A</v>
      </c>
      <c r="AC293" s="367" t="e">
        <f>RawMaterials[[#This Row],[Lab Price 2]]/RawMaterials[[#This Row],[Lab Q Model Units 2]]</f>
        <v>#N/A</v>
      </c>
      <c r="AD293" s="367" t="e">
        <f>RawMaterials[[#This Row],[Lab Price 3]]/RawMaterials[[#This Row],[Lab Q Model Units 3]]</f>
        <v>#N/A</v>
      </c>
      <c r="AE293" s="367" t="e">
        <f>RawMaterials[[#This Row],[Lab Price 4]]/RawMaterials[[#This Row],[Lab Q Model Units 4]]</f>
        <v>#N/A</v>
      </c>
      <c r="AF293" s="367" t="str">
        <f ca="1">IF(RawMaterials[[#This Row],[Lab Quote Count]]&gt;1,SLOPE(LOG(INDIRECT("RawMaterials[@[Lab Unit P 1]:[Lab Unit P "&amp;RawMaterials[[#This Row],[Lab Quote Count]]&amp;"]]")),LOG(INDIRECT("RawMaterials[@[Lab Q Model Units 1]:[Lab Q Model Units "&amp;RawMaterials[[#This Row],[Lab Quote Count]]&amp;"]]"))),"")</f>
        <v/>
      </c>
      <c r="AG293" s="367" t="str">
        <f ca="1">IF(RawMaterials[[#This Row],[Lab Quote Count]]&gt;1,INTERCEPT(LOG(INDIRECT("RawMaterials[@[Lab Unit P 1]:[Lab Unit P "&amp;RawMaterials[[#This Row],[Lab Quote Count]]&amp;"]]")),LOG(INDIRECT("RawMaterials[@[Lab Q Model Units 1]:[Lab Q Model Units "&amp;RawMaterials[[#This Row],[Lab Quote Count]]&amp;"]]"))),"")</f>
        <v/>
      </c>
      <c r="AH293" s="368" t="str">
        <f>IF(RawMaterials[[#This Row],[Material Type]]="Metal Precursor","D13",IF(RawMaterials[[#This Row],[Material Type]]="Ligand","D13","D12"))</f>
        <v>D12</v>
      </c>
      <c r="AI293" s="369" t="str">
        <f ca="1">IF(RawMaterials[[#This Row],[Lab Quote Count]]&gt;1,10^RawMaterials[[#This Row],[Lab Log-Log Intercept]]*INDIRECT(RawMaterials[[#This Row],[Basis Cell]])^RawMaterials[[#This Row],[Lab Log-Log Slope]],"&gt;&gt;&gt; Enter 2 or more lab quotes &lt;&lt;&lt;")</f>
        <v>&gt;&gt;&gt; Enter 2 or more lab quotes &lt;&lt;&lt;</v>
      </c>
      <c r="AJ2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v>
      </c>
      <c r="AL293" s="372">
        <f>IF(ISTEXT(RawMaterials[[#This Row],[Unit price in quote year]]),"Check calcs",RawMaterials[[#This Row],[Unit price in quote year]]/VLOOKUP(RawMaterials[[#This Row],[Quote Year]],ChemPPI[],14,FALSE)*VLOOKUP(BasisYear,ChemPPI[],14,FALSE))</f>
        <v>4.750254065040652</v>
      </c>
      <c r="AM293" s="373" t="str">
        <f t="shared" si="4"/>
        <v>$/lb (2016)</v>
      </c>
    </row>
    <row r="294" spans="1:39">
      <c r="A294" s="263" t="s">
        <v>1396</v>
      </c>
      <c r="B294" s="264"/>
      <c r="C294" s="271"/>
      <c r="D294" s="365"/>
      <c r="E294" s="264">
        <v>100</v>
      </c>
      <c r="F294" s="264"/>
      <c r="G294" s="271"/>
      <c r="H294" s="271"/>
      <c r="I294" s="268"/>
      <c r="J294" s="271"/>
      <c r="K294" s="271"/>
      <c r="L294" s="271"/>
      <c r="M294" s="271"/>
      <c r="N294" s="271"/>
      <c r="O294" s="271"/>
      <c r="P294" s="265">
        <v>0.72</v>
      </c>
      <c r="Q294" s="264">
        <v>1</v>
      </c>
      <c r="R294" s="264" t="s">
        <v>20</v>
      </c>
      <c r="S294" s="264">
        <v>2006</v>
      </c>
      <c r="T294" s="266" t="s">
        <v>163</v>
      </c>
      <c r="U294" s="267">
        <v>42653</v>
      </c>
      <c r="V294" s="269"/>
      <c r="W294" s="366">
        <f>COUNT(RawMaterials[[#This Row],[Lab Quantity 1]:[Lab Quantity 4]])</f>
        <v>0</v>
      </c>
      <c r="X2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4" s="367" t="e">
        <f>RawMaterials[[#This Row],[Lab Price 1]]/RawMaterials[[#This Row],[Lab Q Model Units 1]]</f>
        <v>#N/A</v>
      </c>
      <c r="AC294" s="367" t="e">
        <f>RawMaterials[[#This Row],[Lab Price 2]]/RawMaterials[[#This Row],[Lab Q Model Units 2]]</f>
        <v>#N/A</v>
      </c>
      <c r="AD294" s="367" t="e">
        <f>RawMaterials[[#This Row],[Lab Price 3]]/RawMaterials[[#This Row],[Lab Q Model Units 3]]</f>
        <v>#N/A</v>
      </c>
      <c r="AE294" s="367" t="e">
        <f>RawMaterials[[#This Row],[Lab Price 4]]/RawMaterials[[#This Row],[Lab Q Model Units 4]]</f>
        <v>#N/A</v>
      </c>
      <c r="AF294" s="367" t="str">
        <f ca="1">IF(RawMaterials[[#This Row],[Lab Quote Count]]&gt;1,SLOPE(LOG(INDIRECT("RawMaterials[@[Lab Unit P 1]:[Lab Unit P "&amp;RawMaterials[[#This Row],[Lab Quote Count]]&amp;"]]")),LOG(INDIRECT("RawMaterials[@[Lab Q Model Units 1]:[Lab Q Model Units "&amp;RawMaterials[[#This Row],[Lab Quote Count]]&amp;"]]"))),"")</f>
        <v/>
      </c>
      <c r="AG294" s="367" t="str">
        <f ca="1">IF(RawMaterials[[#This Row],[Lab Quote Count]]&gt;1,INTERCEPT(LOG(INDIRECT("RawMaterials[@[Lab Unit P 1]:[Lab Unit P "&amp;RawMaterials[[#This Row],[Lab Quote Count]]&amp;"]]")),LOG(INDIRECT("RawMaterials[@[Lab Q Model Units 1]:[Lab Q Model Units "&amp;RawMaterials[[#This Row],[Lab Quote Count]]&amp;"]]"))),"")</f>
        <v/>
      </c>
      <c r="AH294" s="368" t="str">
        <f>IF(RawMaterials[[#This Row],[Material Type]]="Metal Precursor","D13",IF(RawMaterials[[#This Row],[Material Type]]="Ligand","D13","D12"))</f>
        <v>D12</v>
      </c>
      <c r="AI294" s="369" t="str">
        <f ca="1">IF(RawMaterials[[#This Row],[Lab Quote Count]]&gt;1,10^RawMaterials[[#This Row],[Lab Log-Log Intercept]]*INDIRECT(RawMaterials[[#This Row],[Basis Cell]])^RawMaterials[[#This Row],[Lab Log-Log Slope]],"&gt;&gt;&gt; Enter 2 or more lab quotes &lt;&lt;&lt;")</f>
        <v>&gt;&gt;&gt; Enter 2 or more lab quotes &lt;&lt;&lt;</v>
      </c>
      <c r="AJ2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294" s="372">
        <f>IF(ISTEXT(RawMaterials[[#This Row],[Unit price in quote year]]),"Check calcs",RawMaterials[[#This Row],[Unit price in quote year]]/VLOOKUP(RawMaterials[[#This Row],[Quote Year]],ChemPPI[],14,FALSE)*VLOOKUP(BasisYear,ChemPPI[],14,FALSE))</f>
        <v>0.9771951219512196</v>
      </c>
      <c r="AM294" s="373" t="str">
        <f t="shared" si="4"/>
        <v>$/lb (2016)</v>
      </c>
    </row>
    <row r="295" spans="1:39">
      <c r="A295" s="263" t="s">
        <v>1397</v>
      </c>
      <c r="B295" s="264"/>
      <c r="C295" s="271"/>
      <c r="D295" s="365"/>
      <c r="E295" s="264">
        <v>100</v>
      </c>
      <c r="F295" s="264"/>
      <c r="G295" s="271"/>
      <c r="H295" s="271"/>
      <c r="I295" s="268"/>
      <c r="J295" s="271"/>
      <c r="K295" s="271"/>
      <c r="L295" s="271"/>
      <c r="M295" s="271"/>
      <c r="N295" s="271"/>
      <c r="O295" s="271"/>
      <c r="P295" s="265">
        <v>0.625</v>
      </c>
      <c r="Q295" s="264">
        <v>1</v>
      </c>
      <c r="R295" s="264" t="s">
        <v>20</v>
      </c>
      <c r="S295" s="264">
        <v>2006</v>
      </c>
      <c r="T295" s="266" t="s">
        <v>163</v>
      </c>
      <c r="U295" s="267">
        <v>42653</v>
      </c>
      <c r="V295" s="269"/>
      <c r="W295" s="366">
        <f>COUNT(RawMaterials[[#This Row],[Lab Quantity 1]:[Lab Quantity 4]])</f>
        <v>0</v>
      </c>
      <c r="X2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5" s="367" t="e">
        <f>RawMaterials[[#This Row],[Lab Price 1]]/RawMaterials[[#This Row],[Lab Q Model Units 1]]</f>
        <v>#N/A</v>
      </c>
      <c r="AC295" s="367" t="e">
        <f>RawMaterials[[#This Row],[Lab Price 2]]/RawMaterials[[#This Row],[Lab Q Model Units 2]]</f>
        <v>#N/A</v>
      </c>
      <c r="AD295" s="367" t="e">
        <f>RawMaterials[[#This Row],[Lab Price 3]]/RawMaterials[[#This Row],[Lab Q Model Units 3]]</f>
        <v>#N/A</v>
      </c>
      <c r="AE295" s="367" t="e">
        <f>RawMaterials[[#This Row],[Lab Price 4]]/RawMaterials[[#This Row],[Lab Q Model Units 4]]</f>
        <v>#N/A</v>
      </c>
      <c r="AF295" s="367" t="str">
        <f ca="1">IF(RawMaterials[[#This Row],[Lab Quote Count]]&gt;1,SLOPE(LOG(INDIRECT("RawMaterials[@[Lab Unit P 1]:[Lab Unit P "&amp;RawMaterials[[#This Row],[Lab Quote Count]]&amp;"]]")),LOG(INDIRECT("RawMaterials[@[Lab Q Model Units 1]:[Lab Q Model Units "&amp;RawMaterials[[#This Row],[Lab Quote Count]]&amp;"]]"))),"")</f>
        <v/>
      </c>
      <c r="AG295" s="367" t="str">
        <f ca="1">IF(RawMaterials[[#This Row],[Lab Quote Count]]&gt;1,INTERCEPT(LOG(INDIRECT("RawMaterials[@[Lab Unit P 1]:[Lab Unit P "&amp;RawMaterials[[#This Row],[Lab Quote Count]]&amp;"]]")),LOG(INDIRECT("RawMaterials[@[Lab Q Model Units 1]:[Lab Q Model Units "&amp;RawMaterials[[#This Row],[Lab Quote Count]]&amp;"]]"))),"")</f>
        <v/>
      </c>
      <c r="AH295" s="368" t="str">
        <f>IF(RawMaterials[[#This Row],[Material Type]]="Metal Precursor","D13",IF(RawMaterials[[#This Row],[Material Type]]="Ligand","D13","D12"))</f>
        <v>D12</v>
      </c>
      <c r="AI295" s="369" t="str">
        <f ca="1">IF(RawMaterials[[#This Row],[Lab Quote Count]]&gt;1,10^RawMaterials[[#This Row],[Lab Log-Log Intercept]]*INDIRECT(RawMaterials[[#This Row],[Basis Cell]])^RawMaterials[[#This Row],[Lab Log-Log Slope]],"&gt;&gt;&gt; Enter 2 or more lab quotes &lt;&lt;&lt;")</f>
        <v>&gt;&gt;&gt; Enter 2 or more lab quotes &lt;&lt;&lt;</v>
      </c>
      <c r="AJ2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0.625</v>
      </c>
      <c r="AL295" s="372">
        <f>IF(ISTEXT(RawMaterials[[#This Row],[Unit price in quote year]]),"Check calcs",RawMaterials[[#This Row],[Unit price in quote year]]/VLOOKUP(RawMaterials[[#This Row],[Quote Year]],ChemPPI[],14,FALSE)*VLOOKUP(BasisYear,ChemPPI[],14,FALSE))</f>
        <v>0.84825965447154483</v>
      </c>
      <c r="AM295" s="373" t="str">
        <f t="shared" si="4"/>
        <v>$/lb (2016)</v>
      </c>
    </row>
    <row r="296" spans="1:39">
      <c r="A296" s="263" t="s">
        <v>1398</v>
      </c>
      <c r="B296" s="264"/>
      <c r="C296" s="271"/>
      <c r="D296" s="365"/>
      <c r="E296" s="264">
        <v>100</v>
      </c>
      <c r="F296" s="264"/>
      <c r="G296" s="271"/>
      <c r="H296" s="271"/>
      <c r="I296" s="268"/>
      <c r="J296" s="271"/>
      <c r="K296" s="271"/>
      <c r="L296" s="271"/>
      <c r="M296" s="271"/>
      <c r="N296" s="271"/>
      <c r="O296" s="271"/>
      <c r="P296" s="265">
        <v>0.5</v>
      </c>
      <c r="Q296" s="264">
        <v>1</v>
      </c>
      <c r="R296" s="264" t="s">
        <v>406</v>
      </c>
      <c r="S296" s="264">
        <v>2006</v>
      </c>
      <c r="T296" s="266" t="s">
        <v>163</v>
      </c>
      <c r="U296" s="267">
        <v>42653</v>
      </c>
      <c r="V296" s="269"/>
      <c r="W296" s="366">
        <f>COUNT(RawMaterials[[#This Row],[Lab Quantity 1]:[Lab Quantity 4]])</f>
        <v>0</v>
      </c>
      <c r="X2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6" s="367" t="e">
        <f>RawMaterials[[#This Row],[Lab Price 1]]/RawMaterials[[#This Row],[Lab Q Model Units 1]]</f>
        <v>#N/A</v>
      </c>
      <c r="AC296" s="367" t="e">
        <f>RawMaterials[[#This Row],[Lab Price 2]]/RawMaterials[[#This Row],[Lab Q Model Units 2]]</f>
        <v>#N/A</v>
      </c>
      <c r="AD296" s="367" t="e">
        <f>RawMaterials[[#This Row],[Lab Price 3]]/RawMaterials[[#This Row],[Lab Q Model Units 3]]</f>
        <v>#N/A</v>
      </c>
      <c r="AE296" s="367" t="e">
        <f>RawMaterials[[#This Row],[Lab Price 4]]/RawMaterials[[#This Row],[Lab Q Model Units 4]]</f>
        <v>#N/A</v>
      </c>
      <c r="AF296" s="367" t="str">
        <f ca="1">IF(RawMaterials[[#This Row],[Lab Quote Count]]&gt;1,SLOPE(LOG(INDIRECT("RawMaterials[@[Lab Unit P 1]:[Lab Unit P "&amp;RawMaterials[[#This Row],[Lab Quote Count]]&amp;"]]")),LOG(INDIRECT("RawMaterials[@[Lab Q Model Units 1]:[Lab Q Model Units "&amp;RawMaterials[[#This Row],[Lab Quote Count]]&amp;"]]"))),"")</f>
        <v/>
      </c>
      <c r="AG296" s="367" t="str">
        <f ca="1">IF(RawMaterials[[#This Row],[Lab Quote Count]]&gt;1,INTERCEPT(LOG(INDIRECT("RawMaterials[@[Lab Unit P 1]:[Lab Unit P "&amp;RawMaterials[[#This Row],[Lab Quote Count]]&amp;"]]")),LOG(INDIRECT("RawMaterials[@[Lab Q Model Units 1]:[Lab Q Model Units "&amp;RawMaterials[[#This Row],[Lab Quote Count]]&amp;"]]"))),"")</f>
        <v/>
      </c>
      <c r="AH296" s="368" t="str">
        <f>IF(RawMaterials[[#This Row],[Material Type]]="Metal Precursor","D13",IF(RawMaterials[[#This Row],[Material Type]]="Ligand","D13","D12"))</f>
        <v>D12</v>
      </c>
      <c r="AI296" s="369" t="str">
        <f ca="1">IF(RawMaterials[[#This Row],[Lab Quote Count]]&gt;1,10^RawMaterials[[#This Row],[Lab Log-Log Intercept]]*INDIRECT(RawMaterials[[#This Row],[Basis Cell]])^RawMaterials[[#This Row],[Lab Log-Log Slope]],"&gt;&gt;&gt; Enter 2 or more lab quotes &lt;&lt;&lt;")</f>
        <v>&gt;&gt;&gt; Enter 2 or more lab quotes &lt;&lt;&lt;</v>
      </c>
      <c r="AJ2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2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2.5000000000000001E-4</v>
      </c>
      <c r="AL296" s="372">
        <f>IF(ISTEXT(RawMaterials[[#This Row],[Unit price in quote year]]),"Check calcs",RawMaterials[[#This Row],[Unit price in quote year]]/VLOOKUP(RawMaterials[[#This Row],[Quote Year]],ChemPPI[],14,FALSE)*VLOOKUP(BasisYear,ChemPPI[],14,FALSE))</f>
        <v>3.3930386178861795E-4</v>
      </c>
      <c r="AM296" s="373" t="str">
        <f t="shared" si="4"/>
        <v>$/lb (2016)</v>
      </c>
    </row>
    <row r="297" spans="1:39">
      <c r="A297" s="263" t="s">
        <v>1399</v>
      </c>
      <c r="B297" s="264"/>
      <c r="C297" s="271"/>
      <c r="D297" s="365"/>
      <c r="E297" s="264">
        <v>100</v>
      </c>
      <c r="F297" s="264"/>
      <c r="G297" s="271"/>
      <c r="H297" s="271"/>
      <c r="I297" s="268"/>
      <c r="J297" s="271"/>
      <c r="K297" s="271"/>
      <c r="L297" s="271"/>
      <c r="M297" s="271"/>
      <c r="N297" s="271"/>
      <c r="O297" s="271"/>
      <c r="P297" s="265">
        <v>0.91</v>
      </c>
      <c r="Q297" s="264">
        <v>1</v>
      </c>
      <c r="R297" s="264" t="s">
        <v>20</v>
      </c>
      <c r="S297" s="264">
        <v>2008</v>
      </c>
      <c r="T297" s="266" t="s">
        <v>163</v>
      </c>
      <c r="U297" s="267">
        <v>42653</v>
      </c>
      <c r="V297" s="269"/>
      <c r="W297" s="366">
        <f>COUNT(RawMaterials[[#This Row],[Lab Quantity 1]:[Lab Quantity 4]])</f>
        <v>0</v>
      </c>
      <c r="X2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7" s="367" t="e">
        <f>RawMaterials[[#This Row],[Lab Price 1]]/RawMaterials[[#This Row],[Lab Q Model Units 1]]</f>
        <v>#N/A</v>
      </c>
      <c r="AC297" s="367" t="e">
        <f>RawMaterials[[#This Row],[Lab Price 2]]/RawMaterials[[#This Row],[Lab Q Model Units 2]]</f>
        <v>#N/A</v>
      </c>
      <c r="AD297" s="367" t="e">
        <f>RawMaterials[[#This Row],[Lab Price 3]]/RawMaterials[[#This Row],[Lab Q Model Units 3]]</f>
        <v>#N/A</v>
      </c>
      <c r="AE297" s="367" t="e">
        <f>RawMaterials[[#This Row],[Lab Price 4]]/RawMaterials[[#This Row],[Lab Q Model Units 4]]</f>
        <v>#N/A</v>
      </c>
      <c r="AF297" s="367" t="str">
        <f ca="1">IF(RawMaterials[[#This Row],[Lab Quote Count]]&gt;1,SLOPE(LOG(INDIRECT("RawMaterials[@[Lab Unit P 1]:[Lab Unit P "&amp;RawMaterials[[#This Row],[Lab Quote Count]]&amp;"]]")),LOG(INDIRECT("RawMaterials[@[Lab Q Model Units 1]:[Lab Q Model Units "&amp;RawMaterials[[#This Row],[Lab Quote Count]]&amp;"]]"))),"")</f>
        <v/>
      </c>
      <c r="AG297" s="367" t="str">
        <f ca="1">IF(RawMaterials[[#This Row],[Lab Quote Count]]&gt;1,INTERCEPT(LOG(INDIRECT("RawMaterials[@[Lab Unit P 1]:[Lab Unit P "&amp;RawMaterials[[#This Row],[Lab Quote Count]]&amp;"]]")),LOG(INDIRECT("RawMaterials[@[Lab Q Model Units 1]:[Lab Q Model Units "&amp;RawMaterials[[#This Row],[Lab Quote Count]]&amp;"]]"))),"")</f>
        <v/>
      </c>
      <c r="AH297" s="368" t="str">
        <f>IF(RawMaterials[[#This Row],[Material Type]]="Metal Precursor","D13",IF(RawMaterials[[#This Row],[Material Type]]="Ligand","D13","D12"))</f>
        <v>D12</v>
      </c>
      <c r="AI297" s="369" t="str">
        <f ca="1">IF(RawMaterials[[#This Row],[Lab Quote Count]]&gt;1,10^RawMaterials[[#This Row],[Lab Log-Log Intercept]]*INDIRECT(RawMaterials[[#This Row],[Basis Cell]])^RawMaterials[[#This Row],[Lab Log-Log Slope]],"&gt;&gt;&gt; Enter 2 or more lab quotes &lt;&lt;&lt;")</f>
        <v>&gt;&gt;&gt; Enter 2 or more lab quotes &lt;&lt;&lt;</v>
      </c>
      <c r="AJ2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297" s="372">
        <f>IF(ISTEXT(RawMaterials[[#This Row],[Unit price in quote year]]),"Check calcs",RawMaterials[[#This Row],[Unit price in quote year]]/VLOOKUP(RawMaterials[[#This Row],[Quote Year]],ChemPPI[],14,FALSE)*VLOOKUP(BasisYear,ChemPPI[],14,FALSE))</f>
        <v>1.0650838050027389</v>
      </c>
      <c r="AM297" s="373" t="str">
        <f t="shared" si="4"/>
        <v>$/lb (2016)</v>
      </c>
    </row>
    <row r="298" spans="1:39">
      <c r="A298" s="263" t="s">
        <v>1400</v>
      </c>
      <c r="B298" s="264"/>
      <c r="C298" s="271"/>
      <c r="D298" s="365"/>
      <c r="E298" s="264">
        <v>100</v>
      </c>
      <c r="F298" s="264"/>
      <c r="G298" s="271"/>
      <c r="H298" s="271"/>
      <c r="I298" s="268"/>
      <c r="J298" s="271"/>
      <c r="K298" s="271"/>
      <c r="L298" s="271"/>
      <c r="M298" s="271"/>
      <c r="N298" s="271"/>
      <c r="O298" s="271"/>
      <c r="P298" s="265">
        <v>900</v>
      </c>
      <c r="Q298" s="264">
        <v>1</v>
      </c>
      <c r="R298" s="264" t="s">
        <v>20</v>
      </c>
      <c r="S298" s="264">
        <v>2006</v>
      </c>
      <c r="T298" s="266" t="s">
        <v>163</v>
      </c>
      <c r="U298" s="267">
        <v>42653</v>
      </c>
      <c r="V298" s="269"/>
      <c r="W298" s="366">
        <f>COUNT(RawMaterials[[#This Row],[Lab Quantity 1]:[Lab Quantity 4]])</f>
        <v>0</v>
      </c>
      <c r="X2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8" s="367" t="e">
        <f>RawMaterials[[#This Row],[Lab Price 1]]/RawMaterials[[#This Row],[Lab Q Model Units 1]]</f>
        <v>#N/A</v>
      </c>
      <c r="AC298" s="367" t="e">
        <f>RawMaterials[[#This Row],[Lab Price 2]]/RawMaterials[[#This Row],[Lab Q Model Units 2]]</f>
        <v>#N/A</v>
      </c>
      <c r="AD298" s="367" t="e">
        <f>RawMaterials[[#This Row],[Lab Price 3]]/RawMaterials[[#This Row],[Lab Q Model Units 3]]</f>
        <v>#N/A</v>
      </c>
      <c r="AE298" s="367" t="e">
        <f>RawMaterials[[#This Row],[Lab Price 4]]/RawMaterials[[#This Row],[Lab Q Model Units 4]]</f>
        <v>#N/A</v>
      </c>
      <c r="AF298" s="367" t="str">
        <f ca="1">IF(RawMaterials[[#This Row],[Lab Quote Count]]&gt;1,SLOPE(LOG(INDIRECT("RawMaterials[@[Lab Unit P 1]:[Lab Unit P "&amp;RawMaterials[[#This Row],[Lab Quote Count]]&amp;"]]")),LOG(INDIRECT("RawMaterials[@[Lab Q Model Units 1]:[Lab Q Model Units "&amp;RawMaterials[[#This Row],[Lab Quote Count]]&amp;"]]"))),"")</f>
        <v/>
      </c>
      <c r="AG298" s="367" t="str">
        <f ca="1">IF(RawMaterials[[#This Row],[Lab Quote Count]]&gt;1,INTERCEPT(LOG(INDIRECT("RawMaterials[@[Lab Unit P 1]:[Lab Unit P "&amp;RawMaterials[[#This Row],[Lab Quote Count]]&amp;"]]")),LOG(INDIRECT("RawMaterials[@[Lab Q Model Units 1]:[Lab Q Model Units "&amp;RawMaterials[[#This Row],[Lab Quote Count]]&amp;"]]"))),"")</f>
        <v/>
      </c>
      <c r="AH298" s="368" t="str">
        <f>IF(RawMaterials[[#This Row],[Material Type]]="Metal Precursor","D13",IF(RawMaterials[[#This Row],[Material Type]]="Ligand","D13","D12"))</f>
        <v>D12</v>
      </c>
      <c r="AI298" s="369" t="str">
        <f ca="1">IF(RawMaterials[[#This Row],[Lab Quote Count]]&gt;1,10^RawMaterials[[#This Row],[Lab Log-Log Intercept]]*INDIRECT(RawMaterials[[#This Row],[Basis Cell]])^RawMaterials[[#This Row],[Lab Log-Log Slope]],"&gt;&gt;&gt; Enter 2 or more lab quotes &lt;&lt;&lt;")</f>
        <v>&gt;&gt;&gt; Enter 2 or more lab quotes &lt;&lt;&lt;</v>
      </c>
      <c r="AJ2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2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900</v>
      </c>
      <c r="AL298" s="372">
        <f>IF(ISTEXT(RawMaterials[[#This Row],[Unit price in quote year]]),"Check calcs",RawMaterials[[#This Row],[Unit price in quote year]]/VLOOKUP(RawMaterials[[#This Row],[Quote Year]],ChemPPI[],14,FALSE)*VLOOKUP(BasisYear,ChemPPI[],14,FALSE))</f>
        <v>1221.4939024390246</v>
      </c>
      <c r="AM298" s="373" t="str">
        <f t="shared" si="4"/>
        <v>$/lb (2016)</v>
      </c>
    </row>
    <row r="299" spans="1:39">
      <c r="A299" s="263" t="s">
        <v>1401</v>
      </c>
      <c r="B299" s="264"/>
      <c r="C299" s="271"/>
      <c r="D299" s="365"/>
      <c r="E299" s="264">
        <v>100</v>
      </c>
      <c r="F299" s="264"/>
      <c r="G299" s="271"/>
      <c r="H299" s="271"/>
      <c r="I299" s="268"/>
      <c r="J299" s="271"/>
      <c r="K299" s="271"/>
      <c r="L299" s="271"/>
      <c r="M299" s="271"/>
      <c r="N299" s="271"/>
      <c r="O299" s="271"/>
      <c r="P299" s="265">
        <v>0.32</v>
      </c>
      <c r="Q299" s="264">
        <v>1</v>
      </c>
      <c r="R299" s="264" t="s">
        <v>71</v>
      </c>
      <c r="S299" s="264">
        <v>2006</v>
      </c>
      <c r="T299" s="266" t="s">
        <v>163</v>
      </c>
      <c r="U299" s="267">
        <v>42653</v>
      </c>
      <c r="V299" s="269"/>
      <c r="W299" s="366">
        <f>COUNT(RawMaterials[[#This Row],[Lab Quantity 1]:[Lab Quantity 4]])</f>
        <v>0</v>
      </c>
      <c r="X2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2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2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2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299" s="367" t="e">
        <f>RawMaterials[[#This Row],[Lab Price 1]]/RawMaterials[[#This Row],[Lab Q Model Units 1]]</f>
        <v>#N/A</v>
      </c>
      <c r="AC299" s="367" t="e">
        <f>RawMaterials[[#This Row],[Lab Price 2]]/RawMaterials[[#This Row],[Lab Q Model Units 2]]</f>
        <v>#N/A</v>
      </c>
      <c r="AD299" s="367" t="e">
        <f>RawMaterials[[#This Row],[Lab Price 3]]/RawMaterials[[#This Row],[Lab Q Model Units 3]]</f>
        <v>#N/A</v>
      </c>
      <c r="AE299" s="367" t="e">
        <f>RawMaterials[[#This Row],[Lab Price 4]]/RawMaterials[[#This Row],[Lab Q Model Units 4]]</f>
        <v>#N/A</v>
      </c>
      <c r="AF299" s="367" t="str">
        <f ca="1">IF(RawMaterials[[#This Row],[Lab Quote Count]]&gt;1,SLOPE(LOG(INDIRECT("RawMaterials[@[Lab Unit P 1]:[Lab Unit P "&amp;RawMaterials[[#This Row],[Lab Quote Count]]&amp;"]]")),LOG(INDIRECT("RawMaterials[@[Lab Q Model Units 1]:[Lab Q Model Units "&amp;RawMaterials[[#This Row],[Lab Quote Count]]&amp;"]]"))),"")</f>
        <v/>
      </c>
      <c r="AG299" s="367" t="str">
        <f ca="1">IF(RawMaterials[[#This Row],[Lab Quote Count]]&gt;1,INTERCEPT(LOG(INDIRECT("RawMaterials[@[Lab Unit P 1]:[Lab Unit P "&amp;RawMaterials[[#This Row],[Lab Quote Count]]&amp;"]]")),LOG(INDIRECT("RawMaterials[@[Lab Q Model Units 1]:[Lab Q Model Units "&amp;RawMaterials[[#This Row],[Lab Quote Count]]&amp;"]]"))),"")</f>
        <v/>
      </c>
      <c r="AH299" s="368" t="str">
        <f>IF(RawMaterials[[#This Row],[Material Type]]="Metal Precursor","D13",IF(RawMaterials[[#This Row],[Material Type]]="Ligand","D13","D12"))</f>
        <v>D12</v>
      </c>
      <c r="AI299" s="369" t="str">
        <f ca="1">IF(RawMaterials[[#This Row],[Lab Quote Count]]&gt;1,10^RawMaterials[[#This Row],[Lab Log-Log Intercept]]*INDIRECT(RawMaterials[[#This Row],[Basis Cell]])^RawMaterials[[#This Row],[Lab Log-Log Slope]],"&gt;&gt;&gt; Enter 2 or more lab quotes &lt;&lt;&lt;")</f>
        <v>&gt;&gt;&gt; Enter 2 or more lab quotes &lt;&lt;&lt;</v>
      </c>
      <c r="AJ2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2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0.14514955840000002</v>
      </c>
      <c r="AL299" s="372">
        <f>IF(ISTEXT(RawMaterials[[#This Row],[Unit price in quote year]]),"Check calcs",RawMaterials[[#This Row],[Unit price in quote year]]/VLOOKUP(RawMaterials[[#This Row],[Quote Year]],ChemPPI[],14,FALSE)*VLOOKUP(BasisYear,ChemPPI[],14,FALSE))</f>
        <v>0.19699922280813012</v>
      </c>
      <c r="AM299" s="373" t="str">
        <f t="shared" si="4"/>
        <v>$/lb (2016)</v>
      </c>
    </row>
    <row r="300" spans="1:39">
      <c r="A300" s="263" t="s">
        <v>1402</v>
      </c>
      <c r="B300" s="264"/>
      <c r="C300" s="271"/>
      <c r="D300" s="365"/>
      <c r="E300" s="264">
        <v>100</v>
      </c>
      <c r="F300" s="264"/>
      <c r="G300" s="271"/>
      <c r="H300" s="271"/>
      <c r="I300" s="268"/>
      <c r="J300" s="271"/>
      <c r="K300" s="271"/>
      <c r="L300" s="271"/>
      <c r="M300" s="271"/>
      <c r="N300" s="271"/>
      <c r="O300" s="271"/>
      <c r="P300" s="265">
        <v>20</v>
      </c>
      <c r="Q300" s="264">
        <v>1</v>
      </c>
      <c r="R300" s="264" t="s">
        <v>20</v>
      </c>
      <c r="S300" s="264">
        <v>2006</v>
      </c>
      <c r="T300" s="266" t="s">
        <v>163</v>
      </c>
      <c r="U300" s="267">
        <v>42653</v>
      </c>
      <c r="V300" s="269"/>
      <c r="W300" s="366">
        <f>COUNT(RawMaterials[[#This Row],[Lab Quantity 1]:[Lab Quantity 4]])</f>
        <v>0</v>
      </c>
      <c r="X3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0" s="367" t="e">
        <f>RawMaterials[[#This Row],[Lab Price 1]]/RawMaterials[[#This Row],[Lab Q Model Units 1]]</f>
        <v>#N/A</v>
      </c>
      <c r="AC300" s="367" t="e">
        <f>RawMaterials[[#This Row],[Lab Price 2]]/RawMaterials[[#This Row],[Lab Q Model Units 2]]</f>
        <v>#N/A</v>
      </c>
      <c r="AD300" s="367" t="e">
        <f>RawMaterials[[#This Row],[Lab Price 3]]/RawMaterials[[#This Row],[Lab Q Model Units 3]]</f>
        <v>#N/A</v>
      </c>
      <c r="AE300" s="367" t="e">
        <f>RawMaterials[[#This Row],[Lab Price 4]]/RawMaterials[[#This Row],[Lab Q Model Units 4]]</f>
        <v>#N/A</v>
      </c>
      <c r="AF300" s="367" t="str">
        <f ca="1">IF(RawMaterials[[#This Row],[Lab Quote Count]]&gt;1,SLOPE(LOG(INDIRECT("RawMaterials[@[Lab Unit P 1]:[Lab Unit P "&amp;RawMaterials[[#This Row],[Lab Quote Count]]&amp;"]]")),LOG(INDIRECT("RawMaterials[@[Lab Q Model Units 1]:[Lab Q Model Units "&amp;RawMaterials[[#This Row],[Lab Quote Count]]&amp;"]]"))),"")</f>
        <v/>
      </c>
      <c r="AG300" s="367" t="str">
        <f ca="1">IF(RawMaterials[[#This Row],[Lab Quote Count]]&gt;1,INTERCEPT(LOG(INDIRECT("RawMaterials[@[Lab Unit P 1]:[Lab Unit P "&amp;RawMaterials[[#This Row],[Lab Quote Count]]&amp;"]]")),LOG(INDIRECT("RawMaterials[@[Lab Q Model Units 1]:[Lab Q Model Units "&amp;RawMaterials[[#This Row],[Lab Quote Count]]&amp;"]]"))),"")</f>
        <v/>
      </c>
      <c r="AH300" s="368" t="str">
        <f>IF(RawMaterials[[#This Row],[Material Type]]="Metal Precursor","D13",IF(RawMaterials[[#This Row],[Material Type]]="Ligand","D13","D12"))</f>
        <v>D12</v>
      </c>
      <c r="AI300" s="369" t="str">
        <f ca="1">IF(RawMaterials[[#This Row],[Lab Quote Count]]&gt;1,10^RawMaterials[[#This Row],[Lab Log-Log Intercept]]*INDIRECT(RawMaterials[[#This Row],[Basis Cell]])^RawMaterials[[#This Row],[Lab Log-Log Slope]],"&gt;&gt;&gt; Enter 2 or more lab quotes &lt;&lt;&lt;")</f>
        <v>&gt;&gt;&gt; Enter 2 or more lab quotes &lt;&lt;&lt;</v>
      </c>
      <c r="AJ3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v>
      </c>
      <c r="AL300" s="372">
        <f>IF(ISTEXT(RawMaterials[[#This Row],[Unit price in quote year]]),"Check calcs",RawMaterials[[#This Row],[Unit price in quote year]]/VLOOKUP(RawMaterials[[#This Row],[Quote Year]],ChemPPI[],14,FALSE)*VLOOKUP(BasisYear,ChemPPI[],14,FALSE))</f>
        <v>27.144308943089435</v>
      </c>
      <c r="AM300" s="373" t="str">
        <f t="shared" si="4"/>
        <v>$/lb (2016)</v>
      </c>
    </row>
    <row r="301" spans="1:39">
      <c r="A301" s="263" t="s">
        <v>1403</v>
      </c>
      <c r="B301" s="264"/>
      <c r="C301" s="271"/>
      <c r="D301" s="365"/>
      <c r="E301" s="264">
        <v>100</v>
      </c>
      <c r="F301" s="264"/>
      <c r="G301" s="271"/>
      <c r="H301" s="271"/>
      <c r="I301" s="268"/>
      <c r="J301" s="271"/>
      <c r="K301" s="271"/>
      <c r="L301" s="271"/>
      <c r="M301" s="271"/>
      <c r="N301" s="271"/>
      <c r="O301" s="271"/>
      <c r="P301" s="265">
        <v>19.25</v>
      </c>
      <c r="Q301" s="264">
        <v>1</v>
      </c>
      <c r="R301" s="264" t="s">
        <v>71</v>
      </c>
      <c r="S301" s="264">
        <v>2006</v>
      </c>
      <c r="T301" s="266" t="s">
        <v>163</v>
      </c>
      <c r="U301" s="267">
        <v>42653</v>
      </c>
      <c r="V301" s="269"/>
      <c r="W301" s="366">
        <f>COUNT(RawMaterials[[#This Row],[Lab Quantity 1]:[Lab Quantity 4]])</f>
        <v>0</v>
      </c>
      <c r="X3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1" s="367" t="e">
        <f>RawMaterials[[#This Row],[Lab Price 1]]/RawMaterials[[#This Row],[Lab Q Model Units 1]]</f>
        <v>#N/A</v>
      </c>
      <c r="AC301" s="367" t="e">
        <f>RawMaterials[[#This Row],[Lab Price 2]]/RawMaterials[[#This Row],[Lab Q Model Units 2]]</f>
        <v>#N/A</v>
      </c>
      <c r="AD301" s="367" t="e">
        <f>RawMaterials[[#This Row],[Lab Price 3]]/RawMaterials[[#This Row],[Lab Q Model Units 3]]</f>
        <v>#N/A</v>
      </c>
      <c r="AE301" s="367" t="e">
        <f>RawMaterials[[#This Row],[Lab Price 4]]/RawMaterials[[#This Row],[Lab Q Model Units 4]]</f>
        <v>#N/A</v>
      </c>
      <c r="AF301" s="367" t="str">
        <f ca="1">IF(RawMaterials[[#This Row],[Lab Quote Count]]&gt;1,SLOPE(LOG(INDIRECT("RawMaterials[@[Lab Unit P 1]:[Lab Unit P "&amp;RawMaterials[[#This Row],[Lab Quote Count]]&amp;"]]")),LOG(INDIRECT("RawMaterials[@[Lab Q Model Units 1]:[Lab Q Model Units "&amp;RawMaterials[[#This Row],[Lab Quote Count]]&amp;"]]"))),"")</f>
        <v/>
      </c>
      <c r="AG301" s="367" t="str">
        <f ca="1">IF(RawMaterials[[#This Row],[Lab Quote Count]]&gt;1,INTERCEPT(LOG(INDIRECT("RawMaterials[@[Lab Unit P 1]:[Lab Unit P "&amp;RawMaterials[[#This Row],[Lab Quote Count]]&amp;"]]")),LOG(INDIRECT("RawMaterials[@[Lab Q Model Units 1]:[Lab Q Model Units "&amp;RawMaterials[[#This Row],[Lab Quote Count]]&amp;"]]"))),"")</f>
        <v/>
      </c>
      <c r="AH301" s="368" t="str">
        <f>IF(RawMaterials[[#This Row],[Material Type]]="Metal Precursor","D13",IF(RawMaterials[[#This Row],[Material Type]]="Ligand","D13","D12"))</f>
        <v>D12</v>
      </c>
      <c r="AI301" s="369" t="str">
        <f ca="1">IF(RawMaterials[[#This Row],[Lab Quote Count]]&gt;1,10^RawMaterials[[#This Row],[Lab Log-Log Intercept]]*INDIRECT(RawMaterials[[#This Row],[Basis Cell]])^RawMaterials[[#This Row],[Lab Log-Log Slope]],"&gt;&gt;&gt; Enter 2 or more lab quotes &lt;&lt;&lt;")</f>
        <v>&gt;&gt;&gt; Enter 2 or more lab quotes &lt;&lt;&lt;</v>
      </c>
      <c r="AJ3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8.7316531225000009</v>
      </c>
      <c r="AL301" s="372">
        <f>IF(ISTEXT(RawMaterials[[#This Row],[Unit price in quote year]]),"Check calcs",RawMaterials[[#This Row],[Unit price in quote year]]/VLOOKUP(RawMaterials[[#This Row],[Quote Year]],ChemPPI[],14,FALSE)*VLOOKUP(BasisYear,ChemPPI[],14,FALSE))</f>
        <v>11.850734497051578</v>
      </c>
      <c r="AM301" s="373" t="str">
        <f t="shared" si="4"/>
        <v>$/lb (2016)</v>
      </c>
    </row>
    <row r="302" spans="1:39">
      <c r="A302" s="263" t="s">
        <v>1404</v>
      </c>
      <c r="B302" s="264"/>
      <c r="C302" s="271"/>
      <c r="D302" s="365">
        <v>0.79200000000000004</v>
      </c>
      <c r="E302" s="264">
        <v>100</v>
      </c>
      <c r="F302" s="264"/>
      <c r="G302" s="271"/>
      <c r="H302" s="271"/>
      <c r="I302" s="268"/>
      <c r="J302" s="271"/>
      <c r="K302" s="271"/>
      <c r="L302" s="271"/>
      <c r="M302" s="271"/>
      <c r="N302" s="271"/>
      <c r="O302" s="271"/>
      <c r="P302" s="265">
        <v>2.02</v>
      </c>
      <c r="Q302" s="264">
        <v>1</v>
      </c>
      <c r="R302" s="264" t="s">
        <v>85</v>
      </c>
      <c r="S302" s="264">
        <v>2008</v>
      </c>
      <c r="T302" s="266" t="s">
        <v>163</v>
      </c>
      <c r="U302" s="267">
        <v>42653</v>
      </c>
      <c r="V302" s="269"/>
      <c r="W302" s="366">
        <f>COUNT(RawMaterials[[#This Row],[Lab Quantity 1]:[Lab Quantity 4]])</f>
        <v>0</v>
      </c>
      <c r="X3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2" s="367" t="e">
        <f>RawMaterials[[#This Row],[Lab Price 1]]/RawMaterials[[#This Row],[Lab Q Model Units 1]]</f>
        <v>#N/A</v>
      </c>
      <c r="AC302" s="367" t="e">
        <f>RawMaterials[[#This Row],[Lab Price 2]]/RawMaterials[[#This Row],[Lab Q Model Units 2]]</f>
        <v>#N/A</v>
      </c>
      <c r="AD302" s="367" t="e">
        <f>RawMaterials[[#This Row],[Lab Price 3]]/RawMaterials[[#This Row],[Lab Q Model Units 3]]</f>
        <v>#N/A</v>
      </c>
      <c r="AE302" s="367" t="e">
        <f>RawMaterials[[#This Row],[Lab Price 4]]/RawMaterials[[#This Row],[Lab Q Model Units 4]]</f>
        <v>#N/A</v>
      </c>
      <c r="AF302" s="367" t="str">
        <f ca="1">IF(RawMaterials[[#This Row],[Lab Quote Count]]&gt;1,SLOPE(LOG(INDIRECT("RawMaterials[@[Lab Unit P 1]:[Lab Unit P "&amp;RawMaterials[[#This Row],[Lab Quote Count]]&amp;"]]")),LOG(INDIRECT("RawMaterials[@[Lab Q Model Units 1]:[Lab Q Model Units "&amp;RawMaterials[[#This Row],[Lab Quote Count]]&amp;"]]"))),"")</f>
        <v/>
      </c>
      <c r="AG302" s="367" t="str">
        <f ca="1">IF(RawMaterials[[#This Row],[Lab Quote Count]]&gt;1,INTERCEPT(LOG(INDIRECT("RawMaterials[@[Lab Unit P 1]:[Lab Unit P "&amp;RawMaterials[[#This Row],[Lab Quote Count]]&amp;"]]")),LOG(INDIRECT("RawMaterials[@[Lab Q Model Units 1]:[Lab Q Model Units "&amp;RawMaterials[[#This Row],[Lab Quote Count]]&amp;"]]"))),"")</f>
        <v/>
      </c>
      <c r="AH302" s="368" t="str">
        <f>IF(RawMaterials[[#This Row],[Material Type]]="Metal Precursor","D13",IF(RawMaterials[[#This Row],[Material Type]]="Ligand","D13","D12"))</f>
        <v>D12</v>
      </c>
      <c r="AI302" s="369" t="str">
        <f ca="1">IF(RawMaterials[[#This Row],[Lab Quote Count]]&gt;1,10^RawMaterials[[#This Row],[Lab Log-Log Intercept]]*INDIRECT(RawMaterials[[#This Row],[Basis Cell]])^RawMaterials[[#This Row],[Lab Log-Log Slope]],"&gt;&gt;&gt; Enter 2 or more lab quotes &lt;&lt;&lt;")</f>
        <v>&gt;&gt;&gt; Enter 2 or more lab quotes &lt;&lt;&lt;</v>
      </c>
      <c r="AJ3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0.3056179080557212</v>
      </c>
      <c r="AL302" s="372">
        <f>IF(ISTEXT(RawMaterials[[#This Row],[Unit price in quote year]]),"Check calcs",RawMaterials[[#This Row],[Unit price in quote year]]/VLOOKUP(RawMaterials[[#This Row],[Quote Year]],ChemPPI[],14,FALSE)*VLOOKUP(BasisYear,ChemPPI[],14,FALSE))</f>
        <v>0.35770185097688428</v>
      </c>
      <c r="AM302" s="373" t="str">
        <f t="shared" si="4"/>
        <v>$/lb (2016)</v>
      </c>
    </row>
    <row r="303" spans="1:39">
      <c r="A303" s="263" t="s">
        <v>1405</v>
      </c>
      <c r="B303" s="264"/>
      <c r="C303" s="271"/>
      <c r="D303" s="365">
        <v>0.79200000000000004</v>
      </c>
      <c r="E303" s="264">
        <v>100</v>
      </c>
      <c r="F303" s="264"/>
      <c r="G303" s="271"/>
      <c r="H303" s="271"/>
      <c r="I303" s="268"/>
      <c r="J303" s="271"/>
      <c r="K303" s="271"/>
      <c r="L303" s="271"/>
      <c r="M303" s="271"/>
      <c r="N303" s="271"/>
      <c r="O303" s="271"/>
      <c r="P303" s="265">
        <v>1.4849999999999901</v>
      </c>
      <c r="Q303" s="264">
        <v>1</v>
      </c>
      <c r="R303" s="264" t="s">
        <v>85</v>
      </c>
      <c r="S303" s="264">
        <v>2008</v>
      </c>
      <c r="T303" s="266" t="s">
        <v>163</v>
      </c>
      <c r="U303" s="267">
        <v>42653</v>
      </c>
      <c r="V303" s="269"/>
      <c r="W303" s="366">
        <f>COUNT(RawMaterials[[#This Row],[Lab Quantity 1]:[Lab Quantity 4]])</f>
        <v>0</v>
      </c>
      <c r="X3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3" s="367" t="e">
        <f>RawMaterials[[#This Row],[Lab Price 1]]/RawMaterials[[#This Row],[Lab Q Model Units 1]]</f>
        <v>#N/A</v>
      </c>
      <c r="AC303" s="367" t="e">
        <f>RawMaterials[[#This Row],[Lab Price 2]]/RawMaterials[[#This Row],[Lab Q Model Units 2]]</f>
        <v>#N/A</v>
      </c>
      <c r="AD303" s="367" t="e">
        <f>RawMaterials[[#This Row],[Lab Price 3]]/RawMaterials[[#This Row],[Lab Q Model Units 3]]</f>
        <v>#N/A</v>
      </c>
      <c r="AE303" s="367" t="e">
        <f>RawMaterials[[#This Row],[Lab Price 4]]/RawMaterials[[#This Row],[Lab Q Model Units 4]]</f>
        <v>#N/A</v>
      </c>
      <c r="AF303" s="367" t="str">
        <f ca="1">IF(RawMaterials[[#This Row],[Lab Quote Count]]&gt;1,SLOPE(LOG(INDIRECT("RawMaterials[@[Lab Unit P 1]:[Lab Unit P "&amp;RawMaterials[[#This Row],[Lab Quote Count]]&amp;"]]")),LOG(INDIRECT("RawMaterials[@[Lab Q Model Units 1]:[Lab Q Model Units "&amp;RawMaterials[[#This Row],[Lab Quote Count]]&amp;"]]"))),"")</f>
        <v/>
      </c>
      <c r="AG303" s="367" t="str">
        <f ca="1">IF(RawMaterials[[#This Row],[Lab Quote Count]]&gt;1,INTERCEPT(LOG(INDIRECT("RawMaterials[@[Lab Unit P 1]:[Lab Unit P "&amp;RawMaterials[[#This Row],[Lab Quote Count]]&amp;"]]")),LOG(INDIRECT("RawMaterials[@[Lab Q Model Units 1]:[Lab Q Model Units "&amp;RawMaterials[[#This Row],[Lab Quote Count]]&amp;"]]"))),"")</f>
        <v/>
      </c>
      <c r="AH303" s="368" t="str">
        <f>IF(RawMaterials[[#This Row],[Material Type]]="Metal Precursor","D13",IF(RawMaterials[[#This Row],[Material Type]]="Ligand","D13","D12"))</f>
        <v>D12</v>
      </c>
      <c r="AI303" s="369" t="str">
        <f ca="1">IF(RawMaterials[[#This Row],[Lab Quote Count]]&gt;1,10^RawMaterials[[#This Row],[Lab Log-Log Intercept]]*INDIRECT(RawMaterials[[#This Row],[Basis Cell]])^RawMaterials[[#This Row],[Lab Log-Log Slope]],"&gt;&gt;&gt; Enter 2 or more lab quotes &lt;&lt;&lt;")</f>
        <v>&gt;&gt;&gt; Enter 2 or more lab quotes &lt;&lt;&lt;</v>
      </c>
      <c r="AJ3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6.6095603259993112</v>
      </c>
      <c r="AK3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0.22467455121917967</v>
      </c>
      <c r="AL303" s="372">
        <f>IF(ISTEXT(RawMaterials[[#This Row],[Unit price in quote year]]),"Check calcs",RawMaterials[[#This Row],[Unit price in quote year]]/VLOOKUP(RawMaterials[[#This Row],[Quote Year]],ChemPPI[],14,FALSE)*VLOOKUP(BasisYear,ChemPPI[],14,FALSE))</f>
        <v>0.26296398450528202</v>
      </c>
      <c r="AM303" s="373" t="str">
        <f t="shared" si="4"/>
        <v>$/lb (2016)</v>
      </c>
    </row>
    <row r="304" spans="1:39">
      <c r="A304" s="263" t="s">
        <v>1406</v>
      </c>
      <c r="B304" s="264"/>
      <c r="C304" s="271"/>
      <c r="D304" s="365">
        <v>0.79200000000000004</v>
      </c>
      <c r="E304" s="264">
        <v>100</v>
      </c>
      <c r="F304" s="264"/>
      <c r="G304" s="271"/>
      <c r="H304" s="271"/>
      <c r="I304" s="268"/>
      <c r="J304" s="271"/>
      <c r="K304" s="271"/>
      <c r="L304" s="271"/>
      <c r="M304" s="271"/>
      <c r="N304" s="271"/>
      <c r="O304" s="271"/>
      <c r="P304" s="265">
        <v>1.5349999999999999</v>
      </c>
      <c r="Q304" s="264">
        <v>1</v>
      </c>
      <c r="R304" s="264" t="s">
        <v>20</v>
      </c>
      <c r="S304" s="264">
        <v>2008</v>
      </c>
      <c r="T304" s="266" t="s">
        <v>163</v>
      </c>
      <c r="U304" s="267">
        <v>42653</v>
      </c>
      <c r="V304" s="269"/>
      <c r="W304" s="366">
        <f>COUNT(RawMaterials[[#This Row],[Lab Quantity 1]:[Lab Quantity 4]])</f>
        <v>0</v>
      </c>
      <c r="X3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4" s="367" t="e">
        <f>RawMaterials[[#This Row],[Lab Price 1]]/RawMaterials[[#This Row],[Lab Q Model Units 1]]</f>
        <v>#N/A</v>
      </c>
      <c r="AC304" s="367" t="e">
        <f>RawMaterials[[#This Row],[Lab Price 2]]/RawMaterials[[#This Row],[Lab Q Model Units 2]]</f>
        <v>#N/A</v>
      </c>
      <c r="AD304" s="367" t="e">
        <f>RawMaterials[[#This Row],[Lab Price 3]]/RawMaterials[[#This Row],[Lab Q Model Units 3]]</f>
        <v>#N/A</v>
      </c>
      <c r="AE304" s="367" t="e">
        <f>RawMaterials[[#This Row],[Lab Price 4]]/RawMaterials[[#This Row],[Lab Q Model Units 4]]</f>
        <v>#N/A</v>
      </c>
      <c r="AF304" s="367" t="str">
        <f ca="1">IF(RawMaterials[[#This Row],[Lab Quote Count]]&gt;1,SLOPE(LOG(INDIRECT("RawMaterials[@[Lab Unit P 1]:[Lab Unit P "&amp;RawMaterials[[#This Row],[Lab Quote Count]]&amp;"]]")),LOG(INDIRECT("RawMaterials[@[Lab Q Model Units 1]:[Lab Q Model Units "&amp;RawMaterials[[#This Row],[Lab Quote Count]]&amp;"]]"))),"")</f>
        <v/>
      </c>
      <c r="AG304" s="367" t="str">
        <f ca="1">IF(RawMaterials[[#This Row],[Lab Quote Count]]&gt;1,INTERCEPT(LOG(INDIRECT("RawMaterials[@[Lab Unit P 1]:[Lab Unit P "&amp;RawMaterials[[#This Row],[Lab Quote Count]]&amp;"]]")),LOG(INDIRECT("RawMaterials[@[Lab Q Model Units 1]:[Lab Q Model Units "&amp;RawMaterials[[#This Row],[Lab Quote Count]]&amp;"]]"))),"")</f>
        <v/>
      </c>
      <c r="AH304" s="368" t="str">
        <f>IF(RawMaterials[[#This Row],[Material Type]]="Metal Precursor","D13",IF(RawMaterials[[#This Row],[Material Type]]="Ligand","D13","D12"))</f>
        <v>D12</v>
      </c>
      <c r="AI304" s="369" t="str">
        <f ca="1">IF(RawMaterials[[#This Row],[Lab Quote Count]]&gt;1,10^RawMaterials[[#This Row],[Lab Log-Log Intercept]]*INDIRECT(RawMaterials[[#This Row],[Basis Cell]])^RawMaterials[[#This Row],[Lab Log-Log Slope]],"&gt;&gt;&gt; Enter 2 or more lab quotes &lt;&lt;&lt;")</f>
        <v>&gt;&gt;&gt; Enter 2 or more lab quotes &lt;&lt;&lt;</v>
      </c>
      <c r="AJ3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1.5349999999999999</v>
      </c>
      <c r="AL304" s="372">
        <f>IF(ISTEXT(RawMaterials[[#This Row],[Unit price in quote year]]),"Check calcs",RawMaterials[[#This Row],[Unit price in quote year]]/VLOOKUP(RawMaterials[[#This Row],[Quote Year]],ChemPPI[],14,FALSE)*VLOOKUP(BasisYear,ChemPPI[],14,FALSE))</f>
        <v>1.7965974073397846</v>
      </c>
      <c r="AM304" s="373" t="str">
        <f t="shared" si="4"/>
        <v>$/lb (2016)</v>
      </c>
    </row>
    <row r="305" spans="1:39">
      <c r="A305" s="263" t="s">
        <v>1407</v>
      </c>
      <c r="B305" s="264"/>
      <c r="C305" s="271"/>
      <c r="D305" s="365"/>
      <c r="E305" s="264">
        <v>100</v>
      </c>
      <c r="F305" s="264"/>
      <c r="G305" s="271"/>
      <c r="H305" s="271"/>
      <c r="I305" s="268"/>
      <c r="J305" s="271"/>
      <c r="K305" s="271"/>
      <c r="L305" s="271"/>
      <c r="M305" s="271"/>
      <c r="N305" s="271"/>
      <c r="O305" s="271"/>
      <c r="P305" s="265">
        <v>1.42</v>
      </c>
      <c r="Q305" s="264">
        <v>1</v>
      </c>
      <c r="R305" s="264" t="s">
        <v>20</v>
      </c>
      <c r="S305" s="264">
        <v>2006</v>
      </c>
      <c r="T305" s="266" t="s">
        <v>163</v>
      </c>
      <c r="U305" s="267">
        <v>42653</v>
      </c>
      <c r="V305" s="269"/>
      <c r="W305" s="366">
        <f>COUNT(RawMaterials[[#This Row],[Lab Quantity 1]:[Lab Quantity 4]])</f>
        <v>0</v>
      </c>
      <c r="X3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5" s="367" t="e">
        <f>RawMaterials[[#This Row],[Lab Price 1]]/RawMaterials[[#This Row],[Lab Q Model Units 1]]</f>
        <v>#N/A</v>
      </c>
      <c r="AC305" s="367" t="e">
        <f>RawMaterials[[#This Row],[Lab Price 2]]/RawMaterials[[#This Row],[Lab Q Model Units 2]]</f>
        <v>#N/A</v>
      </c>
      <c r="AD305" s="367" t="e">
        <f>RawMaterials[[#This Row],[Lab Price 3]]/RawMaterials[[#This Row],[Lab Q Model Units 3]]</f>
        <v>#N/A</v>
      </c>
      <c r="AE305" s="367" t="e">
        <f>RawMaterials[[#This Row],[Lab Price 4]]/RawMaterials[[#This Row],[Lab Q Model Units 4]]</f>
        <v>#N/A</v>
      </c>
      <c r="AF305" s="367" t="str">
        <f ca="1">IF(RawMaterials[[#This Row],[Lab Quote Count]]&gt;1,SLOPE(LOG(INDIRECT("RawMaterials[@[Lab Unit P 1]:[Lab Unit P "&amp;RawMaterials[[#This Row],[Lab Quote Count]]&amp;"]]")),LOG(INDIRECT("RawMaterials[@[Lab Q Model Units 1]:[Lab Q Model Units "&amp;RawMaterials[[#This Row],[Lab Quote Count]]&amp;"]]"))),"")</f>
        <v/>
      </c>
      <c r="AG305" s="367" t="str">
        <f ca="1">IF(RawMaterials[[#This Row],[Lab Quote Count]]&gt;1,INTERCEPT(LOG(INDIRECT("RawMaterials[@[Lab Unit P 1]:[Lab Unit P "&amp;RawMaterials[[#This Row],[Lab Quote Count]]&amp;"]]")),LOG(INDIRECT("RawMaterials[@[Lab Q Model Units 1]:[Lab Q Model Units "&amp;RawMaterials[[#This Row],[Lab Quote Count]]&amp;"]]"))),"")</f>
        <v/>
      </c>
      <c r="AH305" s="368" t="str">
        <f>IF(RawMaterials[[#This Row],[Material Type]]="Metal Precursor","D13",IF(RawMaterials[[#This Row],[Material Type]]="Ligand","D13","D12"))</f>
        <v>D12</v>
      </c>
      <c r="AI305" s="369" t="str">
        <f ca="1">IF(RawMaterials[[#This Row],[Lab Quote Count]]&gt;1,10^RawMaterials[[#This Row],[Lab Log-Log Intercept]]*INDIRECT(RawMaterials[[#This Row],[Basis Cell]])^RawMaterials[[#This Row],[Lab Log-Log Slope]],"&gt;&gt;&gt; Enter 2 or more lab quotes &lt;&lt;&lt;")</f>
        <v>&gt;&gt;&gt; Enter 2 or more lab quotes &lt;&lt;&lt;</v>
      </c>
      <c r="AJ3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305" s="372">
        <f>IF(ISTEXT(RawMaterials[[#This Row],[Unit price in quote year]]),"Check calcs",RawMaterials[[#This Row],[Unit price in quote year]]/VLOOKUP(RawMaterials[[#This Row],[Quote Year]],ChemPPI[],14,FALSE)*VLOOKUP(BasisYear,ChemPPI[],14,FALSE))</f>
        <v>1.9272459349593498</v>
      </c>
      <c r="AM305" s="373" t="str">
        <f t="shared" si="4"/>
        <v>$/lb (2016)</v>
      </c>
    </row>
    <row r="306" spans="1:39">
      <c r="A306" s="263" t="s">
        <v>1408</v>
      </c>
      <c r="B306" s="264"/>
      <c r="C306" s="271"/>
      <c r="D306" s="365"/>
      <c r="E306" s="264">
        <v>100</v>
      </c>
      <c r="F306" s="264"/>
      <c r="G306" s="271"/>
      <c r="H306" s="271"/>
      <c r="I306" s="268"/>
      <c r="J306" s="271"/>
      <c r="K306" s="271"/>
      <c r="L306" s="271"/>
      <c r="M306" s="271"/>
      <c r="N306" s="271"/>
      <c r="O306" s="271"/>
      <c r="P306" s="265">
        <v>1.665</v>
      </c>
      <c r="Q306" s="264">
        <v>1</v>
      </c>
      <c r="R306" s="264" t="s">
        <v>20</v>
      </c>
      <c r="S306" s="264">
        <v>2006</v>
      </c>
      <c r="T306" s="266" t="s">
        <v>163</v>
      </c>
      <c r="U306" s="267">
        <v>42653</v>
      </c>
      <c r="V306" s="269"/>
      <c r="W306" s="366">
        <f>COUNT(RawMaterials[[#This Row],[Lab Quantity 1]:[Lab Quantity 4]])</f>
        <v>0</v>
      </c>
      <c r="X3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6" s="367" t="e">
        <f>RawMaterials[[#This Row],[Lab Price 1]]/RawMaterials[[#This Row],[Lab Q Model Units 1]]</f>
        <v>#N/A</v>
      </c>
      <c r="AC306" s="367" t="e">
        <f>RawMaterials[[#This Row],[Lab Price 2]]/RawMaterials[[#This Row],[Lab Q Model Units 2]]</f>
        <v>#N/A</v>
      </c>
      <c r="AD306" s="367" t="e">
        <f>RawMaterials[[#This Row],[Lab Price 3]]/RawMaterials[[#This Row],[Lab Q Model Units 3]]</f>
        <v>#N/A</v>
      </c>
      <c r="AE306" s="367" t="e">
        <f>RawMaterials[[#This Row],[Lab Price 4]]/RawMaterials[[#This Row],[Lab Q Model Units 4]]</f>
        <v>#N/A</v>
      </c>
      <c r="AF306" s="367" t="str">
        <f ca="1">IF(RawMaterials[[#This Row],[Lab Quote Count]]&gt;1,SLOPE(LOG(INDIRECT("RawMaterials[@[Lab Unit P 1]:[Lab Unit P "&amp;RawMaterials[[#This Row],[Lab Quote Count]]&amp;"]]")),LOG(INDIRECT("RawMaterials[@[Lab Q Model Units 1]:[Lab Q Model Units "&amp;RawMaterials[[#This Row],[Lab Quote Count]]&amp;"]]"))),"")</f>
        <v/>
      </c>
      <c r="AG306" s="367" t="str">
        <f ca="1">IF(RawMaterials[[#This Row],[Lab Quote Count]]&gt;1,INTERCEPT(LOG(INDIRECT("RawMaterials[@[Lab Unit P 1]:[Lab Unit P "&amp;RawMaterials[[#This Row],[Lab Quote Count]]&amp;"]]")),LOG(INDIRECT("RawMaterials[@[Lab Q Model Units 1]:[Lab Q Model Units "&amp;RawMaterials[[#This Row],[Lab Quote Count]]&amp;"]]"))),"")</f>
        <v/>
      </c>
      <c r="AH306" s="368" t="str">
        <f>IF(RawMaterials[[#This Row],[Material Type]]="Metal Precursor","D13",IF(RawMaterials[[#This Row],[Material Type]]="Ligand","D13","D12"))</f>
        <v>D12</v>
      </c>
      <c r="AI306" s="369" t="str">
        <f ca="1">IF(RawMaterials[[#This Row],[Lab Quote Count]]&gt;1,10^RawMaterials[[#This Row],[Lab Log-Log Intercept]]*INDIRECT(RawMaterials[[#This Row],[Basis Cell]])^RawMaterials[[#This Row],[Lab Log-Log Slope]],"&gt;&gt;&gt; Enter 2 or more lab quotes &lt;&lt;&lt;")</f>
        <v>&gt;&gt;&gt; Enter 2 or more lab quotes &lt;&lt;&lt;</v>
      </c>
      <c r="AJ3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1.665</v>
      </c>
      <c r="AL306" s="372">
        <f>IF(ISTEXT(RawMaterials[[#This Row],[Unit price in quote year]]),"Check calcs",RawMaterials[[#This Row],[Unit price in quote year]]/VLOOKUP(RawMaterials[[#This Row],[Quote Year]],ChemPPI[],14,FALSE)*VLOOKUP(BasisYear,ChemPPI[],14,FALSE))</f>
        <v>2.2597637195121956</v>
      </c>
      <c r="AM306" s="373" t="str">
        <f t="shared" si="4"/>
        <v>$/lb (2016)</v>
      </c>
    </row>
    <row r="307" spans="1:39">
      <c r="A307" s="263" t="s">
        <v>1409</v>
      </c>
      <c r="B307" s="264"/>
      <c r="C307" s="271"/>
      <c r="D307" s="365"/>
      <c r="E307" s="264">
        <v>100</v>
      </c>
      <c r="F307" s="264"/>
      <c r="G307" s="271"/>
      <c r="H307" s="271"/>
      <c r="I307" s="268"/>
      <c r="J307" s="271"/>
      <c r="K307" s="271"/>
      <c r="L307" s="271"/>
      <c r="M307" s="271"/>
      <c r="N307" s="271"/>
      <c r="O307" s="271"/>
      <c r="P307" s="265">
        <v>0.83</v>
      </c>
      <c r="Q307" s="264">
        <v>1</v>
      </c>
      <c r="R307" s="264" t="s">
        <v>20</v>
      </c>
      <c r="S307" s="264">
        <v>2006</v>
      </c>
      <c r="T307" s="266" t="s">
        <v>163</v>
      </c>
      <c r="U307" s="267">
        <v>42653</v>
      </c>
      <c r="V307" s="269"/>
      <c r="W307" s="366">
        <f>COUNT(RawMaterials[[#This Row],[Lab Quantity 1]:[Lab Quantity 4]])</f>
        <v>0</v>
      </c>
      <c r="X3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7" s="367" t="e">
        <f>RawMaterials[[#This Row],[Lab Price 1]]/RawMaterials[[#This Row],[Lab Q Model Units 1]]</f>
        <v>#N/A</v>
      </c>
      <c r="AC307" s="367" t="e">
        <f>RawMaterials[[#This Row],[Lab Price 2]]/RawMaterials[[#This Row],[Lab Q Model Units 2]]</f>
        <v>#N/A</v>
      </c>
      <c r="AD307" s="367" t="e">
        <f>RawMaterials[[#This Row],[Lab Price 3]]/RawMaterials[[#This Row],[Lab Q Model Units 3]]</f>
        <v>#N/A</v>
      </c>
      <c r="AE307" s="367" t="e">
        <f>RawMaterials[[#This Row],[Lab Price 4]]/RawMaterials[[#This Row],[Lab Q Model Units 4]]</f>
        <v>#N/A</v>
      </c>
      <c r="AF307" s="367" t="str">
        <f ca="1">IF(RawMaterials[[#This Row],[Lab Quote Count]]&gt;1,SLOPE(LOG(INDIRECT("RawMaterials[@[Lab Unit P 1]:[Lab Unit P "&amp;RawMaterials[[#This Row],[Lab Quote Count]]&amp;"]]")),LOG(INDIRECT("RawMaterials[@[Lab Q Model Units 1]:[Lab Q Model Units "&amp;RawMaterials[[#This Row],[Lab Quote Count]]&amp;"]]"))),"")</f>
        <v/>
      </c>
      <c r="AG307" s="367" t="str">
        <f ca="1">IF(RawMaterials[[#This Row],[Lab Quote Count]]&gt;1,INTERCEPT(LOG(INDIRECT("RawMaterials[@[Lab Unit P 1]:[Lab Unit P "&amp;RawMaterials[[#This Row],[Lab Quote Count]]&amp;"]]")),LOG(INDIRECT("RawMaterials[@[Lab Q Model Units 1]:[Lab Q Model Units "&amp;RawMaterials[[#This Row],[Lab Quote Count]]&amp;"]]"))),"")</f>
        <v/>
      </c>
      <c r="AH307" s="368" t="str">
        <f>IF(RawMaterials[[#This Row],[Material Type]]="Metal Precursor","D13",IF(RawMaterials[[#This Row],[Material Type]]="Ligand","D13","D12"))</f>
        <v>D12</v>
      </c>
      <c r="AI307" s="369" t="str">
        <f ca="1">IF(RawMaterials[[#This Row],[Lab Quote Count]]&gt;1,10^RawMaterials[[#This Row],[Lab Log-Log Intercept]]*INDIRECT(RawMaterials[[#This Row],[Basis Cell]])^RawMaterials[[#This Row],[Lab Log-Log Slope]],"&gt;&gt;&gt; Enter 2 or more lab quotes &lt;&lt;&lt;")</f>
        <v>&gt;&gt;&gt; Enter 2 or more lab quotes &lt;&lt;&lt;</v>
      </c>
      <c r="AJ3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07" s="372">
        <f>IF(ISTEXT(RawMaterials[[#This Row],[Unit price in quote year]]),"Check calcs",RawMaterials[[#This Row],[Unit price in quote year]]/VLOOKUP(RawMaterials[[#This Row],[Quote Year]],ChemPPI[],14,FALSE)*VLOOKUP(BasisYear,ChemPPI[],14,FALSE))</f>
        <v>1.1264888211382116</v>
      </c>
      <c r="AM307" s="373" t="str">
        <f t="shared" si="4"/>
        <v>$/lb (2016)</v>
      </c>
    </row>
    <row r="308" spans="1:39">
      <c r="A308" s="263" t="s">
        <v>1410</v>
      </c>
      <c r="B308" s="264"/>
      <c r="C308" s="271"/>
      <c r="D308" s="365"/>
      <c r="E308" s="264">
        <v>100</v>
      </c>
      <c r="F308" s="264"/>
      <c r="G308" s="271"/>
      <c r="H308" s="271"/>
      <c r="I308" s="268"/>
      <c r="J308" s="271"/>
      <c r="K308" s="271"/>
      <c r="L308" s="271"/>
      <c r="M308" s="271"/>
      <c r="N308" s="271"/>
      <c r="O308" s="271"/>
      <c r="P308" s="265">
        <v>0.33999999999999903</v>
      </c>
      <c r="Q308" s="264">
        <v>1</v>
      </c>
      <c r="R308" s="264" t="s">
        <v>71</v>
      </c>
      <c r="S308" s="264">
        <v>2006</v>
      </c>
      <c r="T308" s="266" t="s">
        <v>163</v>
      </c>
      <c r="U308" s="267">
        <v>42653</v>
      </c>
      <c r="V308" s="269"/>
      <c r="W308" s="366">
        <f>COUNT(RawMaterials[[#This Row],[Lab Quantity 1]:[Lab Quantity 4]])</f>
        <v>0</v>
      </c>
      <c r="X3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8" s="367" t="e">
        <f>RawMaterials[[#This Row],[Lab Price 1]]/RawMaterials[[#This Row],[Lab Q Model Units 1]]</f>
        <v>#N/A</v>
      </c>
      <c r="AC308" s="367" t="e">
        <f>RawMaterials[[#This Row],[Lab Price 2]]/RawMaterials[[#This Row],[Lab Q Model Units 2]]</f>
        <v>#N/A</v>
      </c>
      <c r="AD308" s="367" t="e">
        <f>RawMaterials[[#This Row],[Lab Price 3]]/RawMaterials[[#This Row],[Lab Q Model Units 3]]</f>
        <v>#N/A</v>
      </c>
      <c r="AE308" s="367" t="e">
        <f>RawMaterials[[#This Row],[Lab Price 4]]/RawMaterials[[#This Row],[Lab Q Model Units 4]]</f>
        <v>#N/A</v>
      </c>
      <c r="AF308" s="367" t="str">
        <f ca="1">IF(RawMaterials[[#This Row],[Lab Quote Count]]&gt;1,SLOPE(LOG(INDIRECT("RawMaterials[@[Lab Unit P 1]:[Lab Unit P "&amp;RawMaterials[[#This Row],[Lab Quote Count]]&amp;"]]")),LOG(INDIRECT("RawMaterials[@[Lab Q Model Units 1]:[Lab Q Model Units "&amp;RawMaterials[[#This Row],[Lab Quote Count]]&amp;"]]"))),"")</f>
        <v/>
      </c>
      <c r="AG308" s="367" t="str">
        <f ca="1">IF(RawMaterials[[#This Row],[Lab Quote Count]]&gt;1,INTERCEPT(LOG(INDIRECT("RawMaterials[@[Lab Unit P 1]:[Lab Unit P "&amp;RawMaterials[[#This Row],[Lab Quote Count]]&amp;"]]")),LOG(INDIRECT("RawMaterials[@[Lab Q Model Units 1]:[Lab Q Model Units "&amp;RawMaterials[[#This Row],[Lab Quote Count]]&amp;"]]"))),"")</f>
        <v/>
      </c>
      <c r="AH308" s="368" t="str">
        <f>IF(RawMaterials[[#This Row],[Material Type]]="Metal Precursor","D13",IF(RawMaterials[[#This Row],[Material Type]]="Ligand","D13","D12"))</f>
        <v>D12</v>
      </c>
      <c r="AI308" s="369" t="str">
        <f ca="1">IF(RawMaterials[[#This Row],[Lab Quote Count]]&gt;1,10^RawMaterials[[#This Row],[Lab Log-Log Intercept]]*INDIRECT(RawMaterials[[#This Row],[Basis Cell]])^RawMaterials[[#This Row],[Lab Log-Log Slope]],"&gt;&gt;&gt; Enter 2 or more lab quotes &lt;&lt;&lt;")</f>
        <v>&gt;&gt;&gt; Enter 2 or more lab quotes &lt;&lt;&lt;</v>
      </c>
      <c r="AJ3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0.15422140579999957</v>
      </c>
      <c r="AL308" s="372">
        <f>IF(ISTEXT(RawMaterials[[#This Row],[Unit price in quote year]]),"Check calcs",RawMaterials[[#This Row],[Unit price in quote year]]/VLOOKUP(RawMaterials[[#This Row],[Quote Year]],ChemPPI[],14,FALSE)*VLOOKUP(BasisYear,ChemPPI[],14,FALSE))</f>
        <v>0.20931167423363767</v>
      </c>
      <c r="AM308" s="373" t="str">
        <f t="shared" si="4"/>
        <v>$/lb (2016)</v>
      </c>
    </row>
    <row r="309" spans="1:39">
      <c r="A309" s="263" t="s">
        <v>1411</v>
      </c>
      <c r="B309" s="264"/>
      <c r="C309" s="271"/>
      <c r="D309" s="365"/>
      <c r="E309" s="264">
        <v>100</v>
      </c>
      <c r="F309" s="264"/>
      <c r="G309" s="271"/>
      <c r="H309" s="271"/>
      <c r="I309" s="268"/>
      <c r="J309" s="271"/>
      <c r="K309" s="271"/>
      <c r="L309" s="271"/>
      <c r="M309" s="271"/>
      <c r="N309" s="271"/>
      <c r="O309" s="271"/>
      <c r="P309" s="265">
        <v>335</v>
      </c>
      <c r="Q309" s="264">
        <v>1</v>
      </c>
      <c r="R309" s="264" t="s">
        <v>20</v>
      </c>
      <c r="S309" s="264">
        <v>2006</v>
      </c>
      <c r="T309" s="266" t="s">
        <v>163</v>
      </c>
      <c r="U309" s="267">
        <v>42653</v>
      </c>
      <c r="V309" s="269"/>
      <c r="W309" s="366">
        <f>COUNT(RawMaterials[[#This Row],[Lab Quantity 1]:[Lab Quantity 4]])</f>
        <v>0</v>
      </c>
      <c r="X3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09" s="367" t="e">
        <f>RawMaterials[[#This Row],[Lab Price 1]]/RawMaterials[[#This Row],[Lab Q Model Units 1]]</f>
        <v>#N/A</v>
      </c>
      <c r="AC309" s="367" t="e">
        <f>RawMaterials[[#This Row],[Lab Price 2]]/RawMaterials[[#This Row],[Lab Q Model Units 2]]</f>
        <v>#N/A</v>
      </c>
      <c r="AD309" s="367" t="e">
        <f>RawMaterials[[#This Row],[Lab Price 3]]/RawMaterials[[#This Row],[Lab Q Model Units 3]]</f>
        <v>#N/A</v>
      </c>
      <c r="AE309" s="367" t="e">
        <f>RawMaterials[[#This Row],[Lab Price 4]]/RawMaterials[[#This Row],[Lab Q Model Units 4]]</f>
        <v>#N/A</v>
      </c>
      <c r="AF309" s="367" t="str">
        <f ca="1">IF(RawMaterials[[#This Row],[Lab Quote Count]]&gt;1,SLOPE(LOG(INDIRECT("RawMaterials[@[Lab Unit P 1]:[Lab Unit P "&amp;RawMaterials[[#This Row],[Lab Quote Count]]&amp;"]]")),LOG(INDIRECT("RawMaterials[@[Lab Q Model Units 1]:[Lab Q Model Units "&amp;RawMaterials[[#This Row],[Lab Quote Count]]&amp;"]]"))),"")</f>
        <v/>
      </c>
      <c r="AG309" s="367" t="str">
        <f ca="1">IF(RawMaterials[[#This Row],[Lab Quote Count]]&gt;1,INTERCEPT(LOG(INDIRECT("RawMaterials[@[Lab Unit P 1]:[Lab Unit P "&amp;RawMaterials[[#This Row],[Lab Quote Count]]&amp;"]]")),LOG(INDIRECT("RawMaterials[@[Lab Q Model Units 1]:[Lab Q Model Units "&amp;RawMaterials[[#This Row],[Lab Quote Count]]&amp;"]]"))),"")</f>
        <v/>
      </c>
      <c r="AH309" s="368" t="str">
        <f>IF(RawMaterials[[#This Row],[Material Type]]="Metal Precursor","D13",IF(RawMaterials[[#This Row],[Material Type]]="Ligand","D13","D12"))</f>
        <v>D12</v>
      </c>
      <c r="AI309" s="369" t="str">
        <f ca="1">IF(RawMaterials[[#This Row],[Lab Quote Count]]&gt;1,10^RawMaterials[[#This Row],[Lab Log-Log Intercept]]*INDIRECT(RawMaterials[[#This Row],[Basis Cell]])^RawMaterials[[#This Row],[Lab Log-Log Slope]],"&gt;&gt;&gt; Enter 2 or more lab quotes &lt;&lt;&lt;")</f>
        <v>&gt;&gt;&gt; Enter 2 or more lab quotes &lt;&lt;&lt;</v>
      </c>
      <c r="AJ3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v>
      </c>
      <c r="AL309" s="372">
        <f>IF(ISTEXT(RawMaterials[[#This Row],[Unit price in quote year]]),"Check calcs",RawMaterials[[#This Row],[Unit price in quote year]]/VLOOKUP(RawMaterials[[#This Row],[Quote Year]],ChemPPI[],14,FALSE)*VLOOKUP(BasisYear,ChemPPI[],14,FALSE))</f>
        <v>454.66717479674804</v>
      </c>
      <c r="AM309" s="373" t="str">
        <f t="shared" si="4"/>
        <v>$/lb (2016)</v>
      </c>
    </row>
    <row r="310" spans="1:39">
      <c r="A310" s="263" t="s">
        <v>1412</v>
      </c>
      <c r="B310" s="264"/>
      <c r="C310" s="271"/>
      <c r="D310" s="365"/>
      <c r="E310" s="264">
        <v>100</v>
      </c>
      <c r="F310" s="264"/>
      <c r="G310" s="271"/>
      <c r="H310" s="271"/>
      <c r="I310" s="268"/>
      <c r="J310" s="271"/>
      <c r="K310" s="271"/>
      <c r="L310" s="271"/>
      <c r="M310" s="271"/>
      <c r="N310" s="271"/>
      <c r="O310" s="271"/>
      <c r="P310" s="265">
        <v>1.375</v>
      </c>
      <c r="Q310" s="264">
        <v>1</v>
      </c>
      <c r="R310" s="264" t="s">
        <v>20</v>
      </c>
      <c r="S310" s="264">
        <v>2006</v>
      </c>
      <c r="T310" s="266" t="s">
        <v>163</v>
      </c>
      <c r="U310" s="267">
        <v>42653</v>
      </c>
      <c r="V310" s="269"/>
      <c r="W310" s="366">
        <f>COUNT(RawMaterials[[#This Row],[Lab Quantity 1]:[Lab Quantity 4]])</f>
        <v>0</v>
      </c>
      <c r="X3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0" s="367" t="e">
        <f>RawMaterials[[#This Row],[Lab Price 1]]/RawMaterials[[#This Row],[Lab Q Model Units 1]]</f>
        <v>#N/A</v>
      </c>
      <c r="AC310" s="367" t="e">
        <f>RawMaterials[[#This Row],[Lab Price 2]]/RawMaterials[[#This Row],[Lab Q Model Units 2]]</f>
        <v>#N/A</v>
      </c>
      <c r="AD310" s="367" t="e">
        <f>RawMaterials[[#This Row],[Lab Price 3]]/RawMaterials[[#This Row],[Lab Q Model Units 3]]</f>
        <v>#N/A</v>
      </c>
      <c r="AE310" s="367" t="e">
        <f>RawMaterials[[#This Row],[Lab Price 4]]/RawMaterials[[#This Row],[Lab Q Model Units 4]]</f>
        <v>#N/A</v>
      </c>
      <c r="AF310" s="367" t="str">
        <f ca="1">IF(RawMaterials[[#This Row],[Lab Quote Count]]&gt;1,SLOPE(LOG(INDIRECT("RawMaterials[@[Lab Unit P 1]:[Lab Unit P "&amp;RawMaterials[[#This Row],[Lab Quote Count]]&amp;"]]")),LOG(INDIRECT("RawMaterials[@[Lab Q Model Units 1]:[Lab Q Model Units "&amp;RawMaterials[[#This Row],[Lab Quote Count]]&amp;"]]"))),"")</f>
        <v/>
      </c>
      <c r="AG310" s="367" t="str">
        <f ca="1">IF(RawMaterials[[#This Row],[Lab Quote Count]]&gt;1,INTERCEPT(LOG(INDIRECT("RawMaterials[@[Lab Unit P 1]:[Lab Unit P "&amp;RawMaterials[[#This Row],[Lab Quote Count]]&amp;"]]")),LOG(INDIRECT("RawMaterials[@[Lab Q Model Units 1]:[Lab Q Model Units "&amp;RawMaterials[[#This Row],[Lab Quote Count]]&amp;"]]"))),"")</f>
        <v/>
      </c>
      <c r="AH310" s="368" t="str">
        <f>IF(RawMaterials[[#This Row],[Material Type]]="Metal Precursor","D13",IF(RawMaterials[[#This Row],[Material Type]]="Ligand","D13","D12"))</f>
        <v>D12</v>
      </c>
      <c r="AI310" s="369" t="str">
        <f ca="1">IF(RawMaterials[[#This Row],[Lab Quote Count]]&gt;1,10^RawMaterials[[#This Row],[Lab Log-Log Intercept]]*INDIRECT(RawMaterials[[#This Row],[Basis Cell]])^RawMaterials[[#This Row],[Lab Log-Log Slope]],"&gt;&gt;&gt; Enter 2 or more lab quotes &lt;&lt;&lt;")</f>
        <v>&gt;&gt;&gt; Enter 2 or more lab quotes &lt;&lt;&lt;</v>
      </c>
      <c r="AJ3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v>
      </c>
      <c r="AL310" s="372">
        <f>IF(ISTEXT(RawMaterials[[#This Row],[Unit price in quote year]]),"Check calcs",RawMaterials[[#This Row],[Unit price in quote year]]/VLOOKUP(RawMaterials[[#This Row],[Quote Year]],ChemPPI[],14,FALSE)*VLOOKUP(BasisYear,ChemPPI[],14,FALSE))</f>
        <v>1.8661712398373986</v>
      </c>
      <c r="AM310" s="373" t="str">
        <f t="shared" si="4"/>
        <v>$/lb (2016)</v>
      </c>
    </row>
    <row r="311" spans="1:39">
      <c r="A311" s="263" t="s">
        <v>1413</v>
      </c>
      <c r="B311" s="264"/>
      <c r="C311" s="271"/>
      <c r="D311" s="365"/>
      <c r="E311" s="264">
        <v>100</v>
      </c>
      <c r="F311" s="264"/>
      <c r="G311" s="271"/>
      <c r="H311" s="271"/>
      <c r="I311" s="268"/>
      <c r="J311" s="271"/>
      <c r="K311" s="271"/>
      <c r="L311" s="271"/>
      <c r="M311" s="271"/>
      <c r="N311" s="271"/>
      <c r="O311" s="271"/>
      <c r="P311" s="265">
        <v>1.3</v>
      </c>
      <c r="Q311" s="264">
        <v>1</v>
      </c>
      <c r="R311" s="264" t="s">
        <v>20</v>
      </c>
      <c r="S311" s="264">
        <v>2006</v>
      </c>
      <c r="T311" s="266" t="s">
        <v>163</v>
      </c>
      <c r="U311" s="267">
        <v>42653</v>
      </c>
      <c r="V311" s="269"/>
      <c r="W311" s="366">
        <f>COUNT(RawMaterials[[#This Row],[Lab Quantity 1]:[Lab Quantity 4]])</f>
        <v>0</v>
      </c>
      <c r="X3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1" s="367" t="e">
        <f>RawMaterials[[#This Row],[Lab Price 1]]/RawMaterials[[#This Row],[Lab Q Model Units 1]]</f>
        <v>#N/A</v>
      </c>
      <c r="AC311" s="367" t="e">
        <f>RawMaterials[[#This Row],[Lab Price 2]]/RawMaterials[[#This Row],[Lab Q Model Units 2]]</f>
        <v>#N/A</v>
      </c>
      <c r="AD311" s="367" t="e">
        <f>RawMaterials[[#This Row],[Lab Price 3]]/RawMaterials[[#This Row],[Lab Q Model Units 3]]</f>
        <v>#N/A</v>
      </c>
      <c r="AE311" s="367" t="e">
        <f>RawMaterials[[#This Row],[Lab Price 4]]/RawMaterials[[#This Row],[Lab Q Model Units 4]]</f>
        <v>#N/A</v>
      </c>
      <c r="AF311" s="367" t="str">
        <f ca="1">IF(RawMaterials[[#This Row],[Lab Quote Count]]&gt;1,SLOPE(LOG(INDIRECT("RawMaterials[@[Lab Unit P 1]:[Lab Unit P "&amp;RawMaterials[[#This Row],[Lab Quote Count]]&amp;"]]")),LOG(INDIRECT("RawMaterials[@[Lab Q Model Units 1]:[Lab Q Model Units "&amp;RawMaterials[[#This Row],[Lab Quote Count]]&amp;"]]"))),"")</f>
        <v/>
      </c>
      <c r="AG311" s="367" t="str">
        <f ca="1">IF(RawMaterials[[#This Row],[Lab Quote Count]]&gt;1,INTERCEPT(LOG(INDIRECT("RawMaterials[@[Lab Unit P 1]:[Lab Unit P "&amp;RawMaterials[[#This Row],[Lab Quote Count]]&amp;"]]")),LOG(INDIRECT("RawMaterials[@[Lab Q Model Units 1]:[Lab Q Model Units "&amp;RawMaterials[[#This Row],[Lab Quote Count]]&amp;"]]"))),"")</f>
        <v/>
      </c>
      <c r="AH311" s="368" t="str">
        <f>IF(RawMaterials[[#This Row],[Material Type]]="Metal Precursor","D13",IF(RawMaterials[[#This Row],[Material Type]]="Ligand","D13","D12"))</f>
        <v>D12</v>
      </c>
      <c r="AI311" s="369" t="str">
        <f ca="1">IF(RawMaterials[[#This Row],[Lab Quote Count]]&gt;1,10^RawMaterials[[#This Row],[Lab Log-Log Intercept]]*INDIRECT(RawMaterials[[#This Row],[Basis Cell]])^RawMaterials[[#This Row],[Lab Log-Log Slope]],"&gt;&gt;&gt; Enter 2 or more lab quotes &lt;&lt;&lt;")</f>
        <v>&gt;&gt;&gt; Enter 2 or more lab quotes &lt;&lt;&lt;</v>
      </c>
      <c r="AJ3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v>
      </c>
      <c r="AL311" s="372">
        <f>IF(ISTEXT(RawMaterials[[#This Row],[Unit price in quote year]]),"Check calcs",RawMaterials[[#This Row],[Unit price in quote year]]/VLOOKUP(RawMaterials[[#This Row],[Quote Year]],ChemPPI[],14,FALSE)*VLOOKUP(BasisYear,ChemPPI[],14,FALSE))</f>
        <v>1.7643800813008133</v>
      </c>
      <c r="AM311" s="373" t="str">
        <f t="shared" si="4"/>
        <v>$/lb (2016)</v>
      </c>
    </row>
    <row r="312" spans="1:39">
      <c r="A312" s="263" t="s">
        <v>1414</v>
      </c>
      <c r="B312" s="264"/>
      <c r="C312" s="271"/>
      <c r="D312" s="365"/>
      <c r="E312" s="264">
        <v>100</v>
      </c>
      <c r="F312" s="264"/>
      <c r="G312" s="271"/>
      <c r="H312" s="271"/>
      <c r="I312" s="268"/>
      <c r="J312" s="271"/>
      <c r="K312" s="271"/>
      <c r="L312" s="271"/>
      <c r="M312" s="271"/>
      <c r="N312" s="271"/>
      <c r="O312" s="271"/>
      <c r="P312" s="265">
        <v>0.72499999999999998</v>
      </c>
      <c r="Q312" s="264">
        <v>1</v>
      </c>
      <c r="R312" s="264" t="s">
        <v>71</v>
      </c>
      <c r="S312" s="264">
        <v>2006</v>
      </c>
      <c r="T312" s="266" t="s">
        <v>163</v>
      </c>
      <c r="U312" s="267">
        <v>42653</v>
      </c>
      <c r="V312" s="269"/>
      <c r="W312" s="366">
        <f>COUNT(RawMaterials[[#This Row],[Lab Quantity 1]:[Lab Quantity 4]])</f>
        <v>0</v>
      </c>
      <c r="X3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2" s="367" t="e">
        <f>RawMaterials[[#This Row],[Lab Price 1]]/RawMaterials[[#This Row],[Lab Q Model Units 1]]</f>
        <v>#N/A</v>
      </c>
      <c r="AC312" s="367" t="e">
        <f>RawMaterials[[#This Row],[Lab Price 2]]/RawMaterials[[#This Row],[Lab Q Model Units 2]]</f>
        <v>#N/A</v>
      </c>
      <c r="AD312" s="367" t="e">
        <f>RawMaterials[[#This Row],[Lab Price 3]]/RawMaterials[[#This Row],[Lab Q Model Units 3]]</f>
        <v>#N/A</v>
      </c>
      <c r="AE312" s="367" t="e">
        <f>RawMaterials[[#This Row],[Lab Price 4]]/RawMaterials[[#This Row],[Lab Q Model Units 4]]</f>
        <v>#N/A</v>
      </c>
      <c r="AF312" s="367" t="str">
        <f ca="1">IF(RawMaterials[[#This Row],[Lab Quote Count]]&gt;1,SLOPE(LOG(INDIRECT("RawMaterials[@[Lab Unit P 1]:[Lab Unit P "&amp;RawMaterials[[#This Row],[Lab Quote Count]]&amp;"]]")),LOG(INDIRECT("RawMaterials[@[Lab Q Model Units 1]:[Lab Q Model Units "&amp;RawMaterials[[#This Row],[Lab Quote Count]]&amp;"]]"))),"")</f>
        <v/>
      </c>
      <c r="AG312" s="367" t="str">
        <f ca="1">IF(RawMaterials[[#This Row],[Lab Quote Count]]&gt;1,INTERCEPT(LOG(INDIRECT("RawMaterials[@[Lab Unit P 1]:[Lab Unit P "&amp;RawMaterials[[#This Row],[Lab Quote Count]]&amp;"]]")),LOG(INDIRECT("RawMaterials[@[Lab Q Model Units 1]:[Lab Q Model Units "&amp;RawMaterials[[#This Row],[Lab Quote Count]]&amp;"]]"))),"")</f>
        <v/>
      </c>
      <c r="AH312" s="368" t="str">
        <f>IF(RawMaterials[[#This Row],[Material Type]]="Metal Precursor","D13",IF(RawMaterials[[#This Row],[Material Type]]="Ligand","D13","D12"))</f>
        <v>D12</v>
      </c>
      <c r="AI312" s="369" t="str">
        <f ca="1">IF(RawMaterials[[#This Row],[Lab Quote Count]]&gt;1,10^RawMaterials[[#This Row],[Lab Log-Log Intercept]]*INDIRECT(RawMaterials[[#This Row],[Basis Cell]])^RawMaterials[[#This Row],[Lab Log-Log Slope]],"&gt;&gt;&gt; Enter 2 or more lab quotes &lt;&lt;&lt;")</f>
        <v>&gt;&gt;&gt; Enter 2 or more lab quotes &lt;&lt;&lt;</v>
      </c>
      <c r="AJ3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0.32885446825000003</v>
      </c>
      <c r="AL312" s="372">
        <f>IF(ISTEXT(RawMaterials[[#This Row],[Unit price in quote year]]),"Check calcs",RawMaterials[[#This Row],[Unit price in quote year]]/VLOOKUP(RawMaterials[[#This Row],[Quote Year]],ChemPPI[],14,FALSE)*VLOOKUP(BasisYear,ChemPPI[],14,FALSE))</f>
        <v>0.44632636417466981</v>
      </c>
      <c r="AM312" s="373" t="str">
        <f t="shared" si="4"/>
        <v>$/lb (2016)</v>
      </c>
    </row>
    <row r="313" spans="1:39">
      <c r="A313" s="263" t="s">
        <v>1415</v>
      </c>
      <c r="B313" s="264"/>
      <c r="C313" s="271"/>
      <c r="D313" s="365"/>
      <c r="E313" s="264">
        <v>100</v>
      </c>
      <c r="F313" s="264"/>
      <c r="G313" s="271"/>
      <c r="H313" s="271"/>
      <c r="I313" s="268"/>
      <c r="J313" s="271"/>
      <c r="K313" s="271"/>
      <c r="L313" s="271"/>
      <c r="M313" s="271"/>
      <c r="N313" s="271"/>
      <c r="O313" s="271"/>
      <c r="P313" s="265">
        <v>21.9</v>
      </c>
      <c r="Q313" s="264">
        <v>1</v>
      </c>
      <c r="R313" s="264" t="s">
        <v>20</v>
      </c>
      <c r="S313" s="264">
        <v>2006</v>
      </c>
      <c r="T313" s="266" t="s">
        <v>163</v>
      </c>
      <c r="U313" s="267">
        <v>42653</v>
      </c>
      <c r="V313" s="269"/>
      <c r="W313" s="366">
        <f>COUNT(RawMaterials[[#This Row],[Lab Quantity 1]:[Lab Quantity 4]])</f>
        <v>0</v>
      </c>
      <c r="X3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3" s="367" t="e">
        <f>RawMaterials[[#This Row],[Lab Price 1]]/RawMaterials[[#This Row],[Lab Q Model Units 1]]</f>
        <v>#N/A</v>
      </c>
      <c r="AC313" s="367" t="e">
        <f>RawMaterials[[#This Row],[Lab Price 2]]/RawMaterials[[#This Row],[Lab Q Model Units 2]]</f>
        <v>#N/A</v>
      </c>
      <c r="AD313" s="367" t="e">
        <f>RawMaterials[[#This Row],[Lab Price 3]]/RawMaterials[[#This Row],[Lab Q Model Units 3]]</f>
        <v>#N/A</v>
      </c>
      <c r="AE313" s="367" t="e">
        <f>RawMaterials[[#This Row],[Lab Price 4]]/RawMaterials[[#This Row],[Lab Q Model Units 4]]</f>
        <v>#N/A</v>
      </c>
      <c r="AF313" s="367" t="str">
        <f ca="1">IF(RawMaterials[[#This Row],[Lab Quote Count]]&gt;1,SLOPE(LOG(INDIRECT("RawMaterials[@[Lab Unit P 1]:[Lab Unit P "&amp;RawMaterials[[#This Row],[Lab Quote Count]]&amp;"]]")),LOG(INDIRECT("RawMaterials[@[Lab Q Model Units 1]:[Lab Q Model Units "&amp;RawMaterials[[#This Row],[Lab Quote Count]]&amp;"]]"))),"")</f>
        <v/>
      </c>
      <c r="AG313" s="367" t="str">
        <f ca="1">IF(RawMaterials[[#This Row],[Lab Quote Count]]&gt;1,INTERCEPT(LOG(INDIRECT("RawMaterials[@[Lab Unit P 1]:[Lab Unit P "&amp;RawMaterials[[#This Row],[Lab Quote Count]]&amp;"]]")),LOG(INDIRECT("RawMaterials[@[Lab Q Model Units 1]:[Lab Q Model Units "&amp;RawMaterials[[#This Row],[Lab Quote Count]]&amp;"]]"))),"")</f>
        <v/>
      </c>
      <c r="AH313" s="368" t="str">
        <f>IF(RawMaterials[[#This Row],[Material Type]]="Metal Precursor","D13",IF(RawMaterials[[#This Row],[Material Type]]="Ligand","D13","D12"))</f>
        <v>D12</v>
      </c>
      <c r="AI313" s="369" t="str">
        <f ca="1">IF(RawMaterials[[#This Row],[Lab Quote Count]]&gt;1,10^RawMaterials[[#This Row],[Lab Log-Log Intercept]]*INDIRECT(RawMaterials[[#This Row],[Basis Cell]])^RawMaterials[[#This Row],[Lab Log-Log Slope]],"&gt;&gt;&gt; Enter 2 or more lab quotes &lt;&lt;&lt;")</f>
        <v>&gt;&gt;&gt; Enter 2 or more lab quotes &lt;&lt;&lt;</v>
      </c>
      <c r="AJ3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21.9</v>
      </c>
      <c r="AL313" s="372">
        <f>IF(ISTEXT(RawMaterials[[#This Row],[Unit price in quote year]]),"Check calcs",RawMaterials[[#This Row],[Unit price in quote year]]/VLOOKUP(RawMaterials[[#This Row],[Quote Year]],ChemPPI[],14,FALSE)*VLOOKUP(BasisYear,ChemPPI[],14,FALSE))</f>
        <v>29.72301829268293</v>
      </c>
      <c r="AM313" s="373" t="str">
        <f t="shared" si="4"/>
        <v>$/lb (2016)</v>
      </c>
    </row>
    <row r="314" spans="1:39">
      <c r="A314" s="263" t="s">
        <v>1416</v>
      </c>
      <c r="B314" s="264"/>
      <c r="C314" s="271"/>
      <c r="D314" s="365"/>
      <c r="E314" s="264">
        <v>100</v>
      </c>
      <c r="F314" s="264"/>
      <c r="G314" s="271"/>
      <c r="H314" s="271"/>
      <c r="I314" s="268"/>
      <c r="J314" s="271"/>
      <c r="K314" s="271"/>
      <c r="L314" s="271"/>
      <c r="M314" s="271"/>
      <c r="N314" s="271"/>
      <c r="O314" s="271"/>
      <c r="P314" s="265">
        <v>0.93500000000000005</v>
      </c>
      <c r="Q314" s="264">
        <v>1</v>
      </c>
      <c r="R314" s="264" t="s">
        <v>20</v>
      </c>
      <c r="S314" s="264">
        <v>2008</v>
      </c>
      <c r="T314" s="266" t="s">
        <v>163</v>
      </c>
      <c r="U314" s="267">
        <v>42653</v>
      </c>
      <c r="V314" s="269"/>
      <c r="W314" s="366">
        <f>COUNT(RawMaterials[[#This Row],[Lab Quantity 1]:[Lab Quantity 4]])</f>
        <v>0</v>
      </c>
      <c r="X3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4" s="367" t="e">
        <f>RawMaterials[[#This Row],[Lab Price 1]]/RawMaterials[[#This Row],[Lab Q Model Units 1]]</f>
        <v>#N/A</v>
      </c>
      <c r="AC314" s="367" t="e">
        <f>RawMaterials[[#This Row],[Lab Price 2]]/RawMaterials[[#This Row],[Lab Q Model Units 2]]</f>
        <v>#N/A</v>
      </c>
      <c r="AD314" s="367" t="e">
        <f>RawMaterials[[#This Row],[Lab Price 3]]/RawMaterials[[#This Row],[Lab Q Model Units 3]]</f>
        <v>#N/A</v>
      </c>
      <c r="AE314" s="367" t="e">
        <f>RawMaterials[[#This Row],[Lab Price 4]]/RawMaterials[[#This Row],[Lab Q Model Units 4]]</f>
        <v>#N/A</v>
      </c>
      <c r="AF314" s="367" t="str">
        <f ca="1">IF(RawMaterials[[#This Row],[Lab Quote Count]]&gt;1,SLOPE(LOG(INDIRECT("RawMaterials[@[Lab Unit P 1]:[Lab Unit P "&amp;RawMaterials[[#This Row],[Lab Quote Count]]&amp;"]]")),LOG(INDIRECT("RawMaterials[@[Lab Q Model Units 1]:[Lab Q Model Units "&amp;RawMaterials[[#This Row],[Lab Quote Count]]&amp;"]]"))),"")</f>
        <v/>
      </c>
      <c r="AG314" s="367" t="str">
        <f ca="1">IF(RawMaterials[[#This Row],[Lab Quote Count]]&gt;1,INTERCEPT(LOG(INDIRECT("RawMaterials[@[Lab Unit P 1]:[Lab Unit P "&amp;RawMaterials[[#This Row],[Lab Quote Count]]&amp;"]]")),LOG(INDIRECT("RawMaterials[@[Lab Q Model Units 1]:[Lab Q Model Units "&amp;RawMaterials[[#This Row],[Lab Quote Count]]&amp;"]]"))),"")</f>
        <v/>
      </c>
      <c r="AH314" s="368" t="str">
        <f>IF(RawMaterials[[#This Row],[Material Type]]="Metal Precursor","D13",IF(RawMaterials[[#This Row],[Material Type]]="Ligand","D13","D12"))</f>
        <v>D12</v>
      </c>
      <c r="AI314" s="369" t="str">
        <f ca="1">IF(RawMaterials[[#This Row],[Lab Quote Count]]&gt;1,10^RawMaterials[[#This Row],[Lab Log-Log Intercept]]*INDIRECT(RawMaterials[[#This Row],[Basis Cell]])^RawMaterials[[#This Row],[Lab Log-Log Slope]],"&gt;&gt;&gt; Enter 2 or more lab quotes &lt;&lt;&lt;")</f>
        <v>&gt;&gt;&gt; Enter 2 or more lab quotes &lt;&lt;&lt;</v>
      </c>
      <c r="AJ3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14" s="372">
        <f>IF(ISTEXT(RawMaterials[[#This Row],[Unit price in quote year]]),"Check calcs",RawMaterials[[#This Row],[Unit price in quote year]]/VLOOKUP(RawMaterials[[#This Row],[Quote Year]],ChemPPI[],14,FALSE)*VLOOKUP(BasisYear,ChemPPI[],14,FALSE))</f>
        <v>1.0943443490962206</v>
      </c>
      <c r="AM314" s="373" t="str">
        <f t="shared" si="4"/>
        <v>$/lb (2016)</v>
      </c>
    </row>
    <row r="315" spans="1:39">
      <c r="A315" s="263" t="s">
        <v>1417</v>
      </c>
      <c r="B315" s="264"/>
      <c r="C315" s="271"/>
      <c r="D315" s="365"/>
      <c r="E315" s="264">
        <v>100</v>
      </c>
      <c r="F315" s="264"/>
      <c r="G315" s="271"/>
      <c r="H315" s="271"/>
      <c r="I315" s="268"/>
      <c r="J315" s="271"/>
      <c r="K315" s="271"/>
      <c r="L315" s="271"/>
      <c r="M315" s="271"/>
      <c r="N315" s="271"/>
      <c r="O315" s="271"/>
      <c r="P315" s="265">
        <v>0.76500000000000001</v>
      </c>
      <c r="Q315" s="264">
        <v>1</v>
      </c>
      <c r="R315" s="264" t="s">
        <v>20</v>
      </c>
      <c r="S315" s="264">
        <v>2008</v>
      </c>
      <c r="T315" s="266" t="s">
        <v>163</v>
      </c>
      <c r="U315" s="267">
        <v>42653</v>
      </c>
      <c r="V315" s="269"/>
      <c r="W315" s="366">
        <f>COUNT(RawMaterials[[#This Row],[Lab Quantity 1]:[Lab Quantity 4]])</f>
        <v>0</v>
      </c>
      <c r="X3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5" s="367" t="e">
        <f>RawMaterials[[#This Row],[Lab Price 1]]/RawMaterials[[#This Row],[Lab Q Model Units 1]]</f>
        <v>#N/A</v>
      </c>
      <c r="AC315" s="367" t="e">
        <f>RawMaterials[[#This Row],[Lab Price 2]]/RawMaterials[[#This Row],[Lab Q Model Units 2]]</f>
        <v>#N/A</v>
      </c>
      <c r="AD315" s="367" t="e">
        <f>RawMaterials[[#This Row],[Lab Price 3]]/RawMaterials[[#This Row],[Lab Q Model Units 3]]</f>
        <v>#N/A</v>
      </c>
      <c r="AE315" s="367" t="e">
        <f>RawMaterials[[#This Row],[Lab Price 4]]/RawMaterials[[#This Row],[Lab Q Model Units 4]]</f>
        <v>#N/A</v>
      </c>
      <c r="AF315" s="367" t="str">
        <f ca="1">IF(RawMaterials[[#This Row],[Lab Quote Count]]&gt;1,SLOPE(LOG(INDIRECT("RawMaterials[@[Lab Unit P 1]:[Lab Unit P "&amp;RawMaterials[[#This Row],[Lab Quote Count]]&amp;"]]")),LOG(INDIRECT("RawMaterials[@[Lab Q Model Units 1]:[Lab Q Model Units "&amp;RawMaterials[[#This Row],[Lab Quote Count]]&amp;"]]"))),"")</f>
        <v/>
      </c>
      <c r="AG315" s="367" t="str">
        <f ca="1">IF(RawMaterials[[#This Row],[Lab Quote Count]]&gt;1,INTERCEPT(LOG(INDIRECT("RawMaterials[@[Lab Unit P 1]:[Lab Unit P "&amp;RawMaterials[[#This Row],[Lab Quote Count]]&amp;"]]")),LOG(INDIRECT("RawMaterials[@[Lab Q Model Units 1]:[Lab Q Model Units "&amp;RawMaterials[[#This Row],[Lab Quote Count]]&amp;"]]"))),"")</f>
        <v/>
      </c>
      <c r="AH315" s="368" t="str">
        <f>IF(RawMaterials[[#This Row],[Material Type]]="Metal Precursor","D13",IF(RawMaterials[[#This Row],[Material Type]]="Ligand","D13","D12"))</f>
        <v>D12</v>
      </c>
      <c r="AI315" s="369" t="str">
        <f ca="1">IF(RawMaterials[[#This Row],[Lab Quote Count]]&gt;1,10^RawMaterials[[#This Row],[Lab Log-Log Intercept]]*INDIRECT(RawMaterials[[#This Row],[Basis Cell]])^RawMaterials[[#This Row],[Lab Log-Log Slope]],"&gt;&gt;&gt; Enter 2 or more lab quotes &lt;&lt;&lt;")</f>
        <v>&gt;&gt;&gt; Enter 2 or more lab quotes &lt;&lt;&lt;</v>
      </c>
      <c r="AJ3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0.76500000000000001</v>
      </c>
      <c r="AL315" s="372">
        <f>IF(ISTEXT(RawMaterials[[#This Row],[Unit price in quote year]]),"Check calcs",RawMaterials[[#This Row],[Unit price in quote year]]/VLOOKUP(RawMaterials[[#This Row],[Quote Year]],ChemPPI[],14,FALSE)*VLOOKUP(BasisYear,ChemPPI[],14,FALSE))</f>
        <v>0.89537264926054416</v>
      </c>
      <c r="AM315" s="373" t="str">
        <f t="shared" si="4"/>
        <v>$/lb (2016)</v>
      </c>
    </row>
    <row r="316" spans="1:39">
      <c r="A316" s="263" t="s">
        <v>1418</v>
      </c>
      <c r="B316" s="264"/>
      <c r="C316" s="271"/>
      <c r="D316" s="365"/>
      <c r="E316" s="264">
        <v>100</v>
      </c>
      <c r="F316" s="264"/>
      <c r="G316" s="271"/>
      <c r="H316" s="271"/>
      <c r="I316" s="268"/>
      <c r="J316" s="271"/>
      <c r="K316" s="271"/>
      <c r="L316" s="271"/>
      <c r="M316" s="271"/>
      <c r="N316" s="271"/>
      <c r="O316" s="271"/>
      <c r="P316" s="265">
        <v>1</v>
      </c>
      <c r="Q316" s="264">
        <v>1</v>
      </c>
      <c r="R316" s="264" t="s">
        <v>20</v>
      </c>
      <c r="S316" s="264">
        <v>2008</v>
      </c>
      <c r="T316" s="266" t="s">
        <v>163</v>
      </c>
      <c r="U316" s="267">
        <v>42653</v>
      </c>
      <c r="V316" s="269"/>
      <c r="W316" s="366">
        <f>COUNT(RawMaterials[[#This Row],[Lab Quantity 1]:[Lab Quantity 4]])</f>
        <v>0</v>
      </c>
      <c r="X3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6" s="367" t="e">
        <f>RawMaterials[[#This Row],[Lab Price 1]]/RawMaterials[[#This Row],[Lab Q Model Units 1]]</f>
        <v>#N/A</v>
      </c>
      <c r="AC316" s="367" t="e">
        <f>RawMaterials[[#This Row],[Lab Price 2]]/RawMaterials[[#This Row],[Lab Q Model Units 2]]</f>
        <v>#N/A</v>
      </c>
      <c r="AD316" s="367" t="e">
        <f>RawMaterials[[#This Row],[Lab Price 3]]/RawMaterials[[#This Row],[Lab Q Model Units 3]]</f>
        <v>#N/A</v>
      </c>
      <c r="AE316" s="367" t="e">
        <f>RawMaterials[[#This Row],[Lab Price 4]]/RawMaterials[[#This Row],[Lab Q Model Units 4]]</f>
        <v>#N/A</v>
      </c>
      <c r="AF316" s="367" t="str">
        <f ca="1">IF(RawMaterials[[#This Row],[Lab Quote Count]]&gt;1,SLOPE(LOG(INDIRECT("RawMaterials[@[Lab Unit P 1]:[Lab Unit P "&amp;RawMaterials[[#This Row],[Lab Quote Count]]&amp;"]]")),LOG(INDIRECT("RawMaterials[@[Lab Q Model Units 1]:[Lab Q Model Units "&amp;RawMaterials[[#This Row],[Lab Quote Count]]&amp;"]]"))),"")</f>
        <v/>
      </c>
      <c r="AG316" s="367" t="str">
        <f ca="1">IF(RawMaterials[[#This Row],[Lab Quote Count]]&gt;1,INTERCEPT(LOG(INDIRECT("RawMaterials[@[Lab Unit P 1]:[Lab Unit P "&amp;RawMaterials[[#This Row],[Lab Quote Count]]&amp;"]]")),LOG(INDIRECT("RawMaterials[@[Lab Q Model Units 1]:[Lab Q Model Units "&amp;RawMaterials[[#This Row],[Lab Quote Count]]&amp;"]]"))),"")</f>
        <v/>
      </c>
      <c r="AH316" s="368" t="str">
        <f>IF(RawMaterials[[#This Row],[Material Type]]="Metal Precursor","D13",IF(RawMaterials[[#This Row],[Material Type]]="Ligand","D13","D12"))</f>
        <v>D12</v>
      </c>
      <c r="AI316" s="369" t="str">
        <f ca="1">IF(RawMaterials[[#This Row],[Lab Quote Count]]&gt;1,10^RawMaterials[[#This Row],[Lab Log-Log Intercept]]*INDIRECT(RawMaterials[[#This Row],[Basis Cell]])^RawMaterials[[#This Row],[Lab Log-Log Slope]],"&gt;&gt;&gt; Enter 2 or more lab quotes &lt;&lt;&lt;")</f>
        <v>&gt;&gt;&gt; Enter 2 or more lab quotes &lt;&lt;&lt;</v>
      </c>
      <c r="AJ3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316" s="372">
        <f>IF(ISTEXT(RawMaterials[[#This Row],[Unit price in quote year]]),"Check calcs",RawMaterials[[#This Row],[Unit price in quote year]]/VLOOKUP(RawMaterials[[#This Row],[Quote Year]],ChemPPI[],14,FALSE)*VLOOKUP(BasisYear,ChemPPI[],14,FALSE))</f>
        <v>1.1704217637392733</v>
      </c>
      <c r="AM316" s="373" t="str">
        <f t="shared" si="4"/>
        <v>$/lb (2016)</v>
      </c>
    </row>
    <row r="317" spans="1:39">
      <c r="A317" s="263" t="s">
        <v>1419</v>
      </c>
      <c r="B317" s="264"/>
      <c r="C317" s="271"/>
      <c r="D317" s="365"/>
      <c r="E317" s="264">
        <v>100</v>
      </c>
      <c r="F317" s="264"/>
      <c r="G317" s="271"/>
      <c r="H317" s="271"/>
      <c r="I317" s="268"/>
      <c r="J317" s="271"/>
      <c r="K317" s="271"/>
      <c r="L317" s="271"/>
      <c r="M317" s="271"/>
      <c r="N317" s="271"/>
      <c r="O317" s="271"/>
      <c r="P317" s="265">
        <v>1.02</v>
      </c>
      <c r="Q317" s="264">
        <v>1</v>
      </c>
      <c r="R317" s="264" t="s">
        <v>20</v>
      </c>
      <c r="S317" s="264">
        <v>2008</v>
      </c>
      <c r="T317" s="266" t="s">
        <v>163</v>
      </c>
      <c r="U317" s="267">
        <v>42653</v>
      </c>
      <c r="V317" s="269"/>
      <c r="W317" s="366">
        <f>COUNT(RawMaterials[[#This Row],[Lab Quantity 1]:[Lab Quantity 4]])</f>
        <v>0</v>
      </c>
      <c r="X3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7" s="367" t="e">
        <f>RawMaterials[[#This Row],[Lab Price 1]]/RawMaterials[[#This Row],[Lab Q Model Units 1]]</f>
        <v>#N/A</v>
      </c>
      <c r="AC317" s="367" t="e">
        <f>RawMaterials[[#This Row],[Lab Price 2]]/RawMaterials[[#This Row],[Lab Q Model Units 2]]</f>
        <v>#N/A</v>
      </c>
      <c r="AD317" s="367" t="e">
        <f>RawMaterials[[#This Row],[Lab Price 3]]/RawMaterials[[#This Row],[Lab Q Model Units 3]]</f>
        <v>#N/A</v>
      </c>
      <c r="AE317" s="367" t="e">
        <f>RawMaterials[[#This Row],[Lab Price 4]]/RawMaterials[[#This Row],[Lab Q Model Units 4]]</f>
        <v>#N/A</v>
      </c>
      <c r="AF317" s="367" t="str">
        <f ca="1">IF(RawMaterials[[#This Row],[Lab Quote Count]]&gt;1,SLOPE(LOG(INDIRECT("RawMaterials[@[Lab Unit P 1]:[Lab Unit P "&amp;RawMaterials[[#This Row],[Lab Quote Count]]&amp;"]]")),LOG(INDIRECT("RawMaterials[@[Lab Q Model Units 1]:[Lab Q Model Units "&amp;RawMaterials[[#This Row],[Lab Quote Count]]&amp;"]]"))),"")</f>
        <v/>
      </c>
      <c r="AG317" s="367" t="str">
        <f ca="1">IF(RawMaterials[[#This Row],[Lab Quote Count]]&gt;1,INTERCEPT(LOG(INDIRECT("RawMaterials[@[Lab Unit P 1]:[Lab Unit P "&amp;RawMaterials[[#This Row],[Lab Quote Count]]&amp;"]]")),LOG(INDIRECT("RawMaterials[@[Lab Q Model Units 1]:[Lab Q Model Units "&amp;RawMaterials[[#This Row],[Lab Quote Count]]&amp;"]]"))),"")</f>
        <v/>
      </c>
      <c r="AH317" s="368" t="str">
        <f>IF(RawMaterials[[#This Row],[Material Type]]="Metal Precursor","D13",IF(RawMaterials[[#This Row],[Material Type]]="Ligand","D13","D12"))</f>
        <v>D12</v>
      </c>
      <c r="AI317" s="369" t="str">
        <f ca="1">IF(RawMaterials[[#This Row],[Lab Quote Count]]&gt;1,10^RawMaterials[[#This Row],[Lab Log-Log Intercept]]*INDIRECT(RawMaterials[[#This Row],[Basis Cell]])^RawMaterials[[#This Row],[Lab Log-Log Slope]],"&gt;&gt;&gt; Enter 2 or more lab quotes &lt;&lt;&lt;")</f>
        <v>&gt;&gt;&gt; Enter 2 or more lab quotes &lt;&lt;&lt;</v>
      </c>
      <c r="AJ3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1.02</v>
      </c>
      <c r="AL317" s="372">
        <f>IF(ISTEXT(RawMaterials[[#This Row],[Unit price in quote year]]),"Check calcs",RawMaterials[[#This Row],[Unit price in quote year]]/VLOOKUP(RawMaterials[[#This Row],[Quote Year]],ChemPPI[],14,FALSE)*VLOOKUP(BasisYear,ChemPPI[],14,FALSE))</f>
        <v>1.193830199014059</v>
      </c>
      <c r="AM317" s="373" t="str">
        <f t="shared" si="4"/>
        <v>$/lb (2016)</v>
      </c>
    </row>
    <row r="318" spans="1:39">
      <c r="A318" s="263" t="s">
        <v>1420</v>
      </c>
      <c r="B318" s="264"/>
      <c r="C318" s="271"/>
      <c r="D318" s="365"/>
      <c r="E318" s="264">
        <v>100</v>
      </c>
      <c r="F318" s="264"/>
      <c r="G318" s="271"/>
      <c r="H318" s="271"/>
      <c r="I318" s="268"/>
      <c r="J318" s="271"/>
      <c r="K318" s="271"/>
      <c r="L318" s="271"/>
      <c r="M318" s="271"/>
      <c r="N318" s="271"/>
      <c r="O318" s="271"/>
      <c r="P318" s="265">
        <v>0.48499999999999999</v>
      </c>
      <c r="Q318" s="264">
        <v>1</v>
      </c>
      <c r="R318" s="264" t="s">
        <v>20</v>
      </c>
      <c r="S318" s="264">
        <v>2008</v>
      </c>
      <c r="T318" s="266" t="s">
        <v>163</v>
      </c>
      <c r="U318" s="267">
        <v>42653</v>
      </c>
      <c r="V318" s="269"/>
      <c r="W318" s="366">
        <f>COUNT(RawMaterials[[#This Row],[Lab Quantity 1]:[Lab Quantity 4]])</f>
        <v>0</v>
      </c>
      <c r="X3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8" s="367" t="e">
        <f>RawMaterials[[#This Row],[Lab Price 1]]/RawMaterials[[#This Row],[Lab Q Model Units 1]]</f>
        <v>#N/A</v>
      </c>
      <c r="AC318" s="367" t="e">
        <f>RawMaterials[[#This Row],[Lab Price 2]]/RawMaterials[[#This Row],[Lab Q Model Units 2]]</f>
        <v>#N/A</v>
      </c>
      <c r="AD318" s="367" t="e">
        <f>RawMaterials[[#This Row],[Lab Price 3]]/RawMaterials[[#This Row],[Lab Q Model Units 3]]</f>
        <v>#N/A</v>
      </c>
      <c r="AE318" s="367" t="e">
        <f>RawMaterials[[#This Row],[Lab Price 4]]/RawMaterials[[#This Row],[Lab Q Model Units 4]]</f>
        <v>#N/A</v>
      </c>
      <c r="AF318" s="367" t="str">
        <f ca="1">IF(RawMaterials[[#This Row],[Lab Quote Count]]&gt;1,SLOPE(LOG(INDIRECT("RawMaterials[@[Lab Unit P 1]:[Lab Unit P "&amp;RawMaterials[[#This Row],[Lab Quote Count]]&amp;"]]")),LOG(INDIRECT("RawMaterials[@[Lab Q Model Units 1]:[Lab Q Model Units "&amp;RawMaterials[[#This Row],[Lab Quote Count]]&amp;"]]"))),"")</f>
        <v/>
      </c>
      <c r="AG318" s="367" t="str">
        <f ca="1">IF(RawMaterials[[#This Row],[Lab Quote Count]]&gt;1,INTERCEPT(LOG(INDIRECT("RawMaterials[@[Lab Unit P 1]:[Lab Unit P "&amp;RawMaterials[[#This Row],[Lab Quote Count]]&amp;"]]")),LOG(INDIRECT("RawMaterials[@[Lab Q Model Units 1]:[Lab Q Model Units "&amp;RawMaterials[[#This Row],[Lab Quote Count]]&amp;"]]"))),"")</f>
        <v/>
      </c>
      <c r="AH318" s="368" t="str">
        <f>IF(RawMaterials[[#This Row],[Material Type]]="Metal Precursor","D13",IF(RawMaterials[[#This Row],[Material Type]]="Ligand","D13","D12"))</f>
        <v>D12</v>
      </c>
      <c r="AI318" s="369" t="str">
        <f ca="1">IF(RawMaterials[[#This Row],[Lab Quote Count]]&gt;1,10^RawMaterials[[#This Row],[Lab Log-Log Intercept]]*INDIRECT(RawMaterials[[#This Row],[Basis Cell]])^RawMaterials[[#This Row],[Lab Log-Log Slope]],"&gt;&gt;&gt; Enter 2 or more lab quotes &lt;&lt;&lt;")</f>
        <v>&gt;&gt;&gt; Enter 2 or more lab quotes &lt;&lt;&lt;</v>
      </c>
      <c r="AJ3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18" s="372">
        <f>IF(ISTEXT(RawMaterials[[#This Row],[Unit price in quote year]]),"Check calcs",RawMaterials[[#This Row],[Unit price in quote year]]/VLOOKUP(RawMaterials[[#This Row],[Quote Year]],ChemPPI[],14,FALSE)*VLOOKUP(BasisYear,ChemPPI[],14,FALSE))</f>
        <v>0.56765455541354748</v>
      </c>
      <c r="AM318" s="373" t="str">
        <f t="shared" si="4"/>
        <v>$/lb (2016)</v>
      </c>
    </row>
    <row r="319" spans="1:39">
      <c r="A319" s="263" t="s">
        <v>1421</v>
      </c>
      <c r="B319" s="264"/>
      <c r="C319" s="271"/>
      <c r="D319" s="365"/>
      <c r="E319" s="264">
        <v>100</v>
      </c>
      <c r="F319" s="264"/>
      <c r="G319" s="271"/>
      <c r="H319" s="271"/>
      <c r="I319" s="268"/>
      <c r="J319" s="271"/>
      <c r="K319" s="271"/>
      <c r="L319" s="271"/>
      <c r="M319" s="271"/>
      <c r="N319" s="271"/>
      <c r="O319" s="271"/>
      <c r="P319" s="265">
        <v>0.43</v>
      </c>
      <c r="Q319" s="264">
        <v>1</v>
      </c>
      <c r="R319" s="264" t="s">
        <v>20</v>
      </c>
      <c r="S319" s="264">
        <v>2008</v>
      </c>
      <c r="T319" s="266" t="s">
        <v>163</v>
      </c>
      <c r="U319" s="267">
        <v>42653</v>
      </c>
      <c r="V319" s="269"/>
      <c r="W319" s="366">
        <f>COUNT(RawMaterials[[#This Row],[Lab Quantity 1]:[Lab Quantity 4]])</f>
        <v>0</v>
      </c>
      <c r="X3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19" s="367" t="e">
        <f>RawMaterials[[#This Row],[Lab Price 1]]/RawMaterials[[#This Row],[Lab Q Model Units 1]]</f>
        <v>#N/A</v>
      </c>
      <c r="AC319" s="367" t="e">
        <f>RawMaterials[[#This Row],[Lab Price 2]]/RawMaterials[[#This Row],[Lab Q Model Units 2]]</f>
        <v>#N/A</v>
      </c>
      <c r="AD319" s="367" t="e">
        <f>RawMaterials[[#This Row],[Lab Price 3]]/RawMaterials[[#This Row],[Lab Q Model Units 3]]</f>
        <v>#N/A</v>
      </c>
      <c r="AE319" s="367" t="e">
        <f>RawMaterials[[#This Row],[Lab Price 4]]/RawMaterials[[#This Row],[Lab Q Model Units 4]]</f>
        <v>#N/A</v>
      </c>
      <c r="AF319" s="367" t="str">
        <f ca="1">IF(RawMaterials[[#This Row],[Lab Quote Count]]&gt;1,SLOPE(LOG(INDIRECT("RawMaterials[@[Lab Unit P 1]:[Lab Unit P "&amp;RawMaterials[[#This Row],[Lab Quote Count]]&amp;"]]")),LOG(INDIRECT("RawMaterials[@[Lab Q Model Units 1]:[Lab Q Model Units "&amp;RawMaterials[[#This Row],[Lab Quote Count]]&amp;"]]"))),"")</f>
        <v/>
      </c>
      <c r="AG319" s="367" t="str">
        <f ca="1">IF(RawMaterials[[#This Row],[Lab Quote Count]]&gt;1,INTERCEPT(LOG(INDIRECT("RawMaterials[@[Lab Unit P 1]:[Lab Unit P "&amp;RawMaterials[[#This Row],[Lab Quote Count]]&amp;"]]")),LOG(INDIRECT("RawMaterials[@[Lab Q Model Units 1]:[Lab Q Model Units "&amp;RawMaterials[[#This Row],[Lab Quote Count]]&amp;"]]"))),"")</f>
        <v/>
      </c>
      <c r="AH319" s="368" t="str">
        <f>IF(RawMaterials[[#This Row],[Material Type]]="Metal Precursor","D13",IF(RawMaterials[[#This Row],[Material Type]]="Ligand","D13","D12"))</f>
        <v>D12</v>
      </c>
      <c r="AI319" s="369" t="str">
        <f ca="1">IF(RawMaterials[[#This Row],[Lab Quote Count]]&gt;1,10^RawMaterials[[#This Row],[Lab Log-Log Intercept]]*INDIRECT(RawMaterials[[#This Row],[Basis Cell]])^RawMaterials[[#This Row],[Lab Log-Log Slope]],"&gt;&gt;&gt; Enter 2 or more lab quotes &lt;&lt;&lt;")</f>
        <v>&gt;&gt;&gt; Enter 2 or more lab quotes &lt;&lt;&lt;</v>
      </c>
      <c r="AJ3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319" s="372">
        <f>IF(ISTEXT(RawMaterials[[#This Row],[Unit price in quote year]]),"Check calcs",RawMaterials[[#This Row],[Unit price in quote year]]/VLOOKUP(RawMaterials[[#This Row],[Quote Year]],ChemPPI[],14,FALSE)*VLOOKUP(BasisYear,ChemPPI[],14,FALSE))</f>
        <v>0.50328135840788757</v>
      </c>
      <c r="AM319" s="373" t="str">
        <f t="shared" si="4"/>
        <v>$/lb (2016)</v>
      </c>
    </row>
    <row r="320" spans="1:39">
      <c r="A320" s="263" t="s">
        <v>1422</v>
      </c>
      <c r="B320" s="264"/>
      <c r="C320" s="271"/>
      <c r="D320" s="365"/>
      <c r="E320" s="264">
        <v>100</v>
      </c>
      <c r="F320" s="264"/>
      <c r="G320" s="271"/>
      <c r="H320" s="271"/>
      <c r="I320" s="268"/>
      <c r="J320" s="271"/>
      <c r="K320" s="271"/>
      <c r="L320" s="271"/>
      <c r="M320" s="271"/>
      <c r="N320" s="271"/>
      <c r="O320" s="271"/>
      <c r="P320" s="265">
        <v>0.64749999999999996</v>
      </c>
      <c r="Q320" s="264">
        <v>1</v>
      </c>
      <c r="R320" s="264" t="s">
        <v>20</v>
      </c>
      <c r="S320" s="264">
        <v>2006</v>
      </c>
      <c r="T320" s="266" t="s">
        <v>163</v>
      </c>
      <c r="U320" s="267">
        <v>42653</v>
      </c>
      <c r="V320" s="269"/>
      <c r="W320" s="366">
        <f>COUNT(RawMaterials[[#This Row],[Lab Quantity 1]:[Lab Quantity 4]])</f>
        <v>0</v>
      </c>
      <c r="X3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0" s="367" t="e">
        <f>RawMaterials[[#This Row],[Lab Price 1]]/RawMaterials[[#This Row],[Lab Q Model Units 1]]</f>
        <v>#N/A</v>
      </c>
      <c r="AC320" s="367" t="e">
        <f>RawMaterials[[#This Row],[Lab Price 2]]/RawMaterials[[#This Row],[Lab Q Model Units 2]]</f>
        <v>#N/A</v>
      </c>
      <c r="AD320" s="367" t="e">
        <f>RawMaterials[[#This Row],[Lab Price 3]]/RawMaterials[[#This Row],[Lab Q Model Units 3]]</f>
        <v>#N/A</v>
      </c>
      <c r="AE320" s="367" t="e">
        <f>RawMaterials[[#This Row],[Lab Price 4]]/RawMaterials[[#This Row],[Lab Q Model Units 4]]</f>
        <v>#N/A</v>
      </c>
      <c r="AF320" s="367" t="str">
        <f ca="1">IF(RawMaterials[[#This Row],[Lab Quote Count]]&gt;1,SLOPE(LOG(INDIRECT("RawMaterials[@[Lab Unit P 1]:[Lab Unit P "&amp;RawMaterials[[#This Row],[Lab Quote Count]]&amp;"]]")),LOG(INDIRECT("RawMaterials[@[Lab Q Model Units 1]:[Lab Q Model Units "&amp;RawMaterials[[#This Row],[Lab Quote Count]]&amp;"]]"))),"")</f>
        <v/>
      </c>
      <c r="AG320" s="367" t="str">
        <f ca="1">IF(RawMaterials[[#This Row],[Lab Quote Count]]&gt;1,INTERCEPT(LOG(INDIRECT("RawMaterials[@[Lab Unit P 1]:[Lab Unit P "&amp;RawMaterials[[#This Row],[Lab Quote Count]]&amp;"]]")),LOG(INDIRECT("RawMaterials[@[Lab Q Model Units 1]:[Lab Q Model Units "&amp;RawMaterials[[#This Row],[Lab Quote Count]]&amp;"]]"))),"")</f>
        <v/>
      </c>
      <c r="AH320" s="368" t="str">
        <f>IF(RawMaterials[[#This Row],[Material Type]]="Metal Precursor","D13",IF(RawMaterials[[#This Row],[Material Type]]="Ligand","D13","D12"))</f>
        <v>D12</v>
      </c>
      <c r="AI320" s="369" t="str">
        <f ca="1">IF(RawMaterials[[#This Row],[Lab Quote Count]]&gt;1,10^RawMaterials[[#This Row],[Lab Log-Log Intercept]]*INDIRECT(RawMaterials[[#This Row],[Basis Cell]])^RawMaterials[[#This Row],[Lab Log-Log Slope]],"&gt;&gt;&gt; Enter 2 or more lab quotes &lt;&lt;&lt;")</f>
        <v>&gt;&gt;&gt; Enter 2 or more lab quotes &lt;&lt;&lt;</v>
      </c>
      <c r="AJ3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0.64749999999999996</v>
      </c>
      <c r="AL320" s="372">
        <f>IF(ISTEXT(RawMaterials[[#This Row],[Unit price in quote year]]),"Check calcs",RawMaterials[[#This Row],[Unit price in quote year]]/VLOOKUP(RawMaterials[[#This Row],[Quote Year]],ChemPPI[],14,FALSE)*VLOOKUP(BasisYear,ChemPPI[],14,FALSE))</f>
        <v>0.87879700203252042</v>
      </c>
      <c r="AM320" s="373" t="str">
        <f t="shared" si="4"/>
        <v>$/lb (2016)</v>
      </c>
    </row>
    <row r="321" spans="1:39">
      <c r="A321" s="263" t="s">
        <v>1423</v>
      </c>
      <c r="B321" s="264"/>
      <c r="C321" s="271"/>
      <c r="D321" s="365"/>
      <c r="E321" s="264">
        <v>100</v>
      </c>
      <c r="F321" s="264"/>
      <c r="G321" s="271"/>
      <c r="H321" s="271"/>
      <c r="I321" s="268"/>
      <c r="J321" s="271"/>
      <c r="K321" s="271"/>
      <c r="L321" s="271"/>
      <c r="M321" s="271"/>
      <c r="N321" s="271"/>
      <c r="O321" s="271"/>
      <c r="P321" s="265">
        <v>0.71750000000000003</v>
      </c>
      <c r="Q321" s="264">
        <v>1</v>
      </c>
      <c r="R321" s="264" t="s">
        <v>20</v>
      </c>
      <c r="S321" s="264">
        <v>2006</v>
      </c>
      <c r="T321" s="266" t="s">
        <v>163</v>
      </c>
      <c r="U321" s="267">
        <v>42653</v>
      </c>
      <c r="V321" s="269"/>
      <c r="W321" s="366">
        <f>COUNT(RawMaterials[[#This Row],[Lab Quantity 1]:[Lab Quantity 4]])</f>
        <v>0</v>
      </c>
      <c r="X3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1" s="367" t="e">
        <f>RawMaterials[[#This Row],[Lab Price 1]]/RawMaterials[[#This Row],[Lab Q Model Units 1]]</f>
        <v>#N/A</v>
      </c>
      <c r="AC321" s="367" t="e">
        <f>RawMaterials[[#This Row],[Lab Price 2]]/RawMaterials[[#This Row],[Lab Q Model Units 2]]</f>
        <v>#N/A</v>
      </c>
      <c r="AD321" s="367" t="e">
        <f>RawMaterials[[#This Row],[Lab Price 3]]/RawMaterials[[#This Row],[Lab Q Model Units 3]]</f>
        <v>#N/A</v>
      </c>
      <c r="AE321" s="367" t="e">
        <f>RawMaterials[[#This Row],[Lab Price 4]]/RawMaterials[[#This Row],[Lab Q Model Units 4]]</f>
        <v>#N/A</v>
      </c>
      <c r="AF321" s="367" t="str">
        <f ca="1">IF(RawMaterials[[#This Row],[Lab Quote Count]]&gt;1,SLOPE(LOG(INDIRECT("RawMaterials[@[Lab Unit P 1]:[Lab Unit P "&amp;RawMaterials[[#This Row],[Lab Quote Count]]&amp;"]]")),LOG(INDIRECT("RawMaterials[@[Lab Q Model Units 1]:[Lab Q Model Units "&amp;RawMaterials[[#This Row],[Lab Quote Count]]&amp;"]]"))),"")</f>
        <v/>
      </c>
      <c r="AG321" s="367" t="str">
        <f ca="1">IF(RawMaterials[[#This Row],[Lab Quote Count]]&gt;1,INTERCEPT(LOG(INDIRECT("RawMaterials[@[Lab Unit P 1]:[Lab Unit P "&amp;RawMaterials[[#This Row],[Lab Quote Count]]&amp;"]]")),LOG(INDIRECT("RawMaterials[@[Lab Q Model Units 1]:[Lab Q Model Units "&amp;RawMaterials[[#This Row],[Lab Quote Count]]&amp;"]]"))),"")</f>
        <v/>
      </c>
      <c r="AH321" s="368" t="str">
        <f>IF(RawMaterials[[#This Row],[Material Type]]="Metal Precursor","D13",IF(RawMaterials[[#This Row],[Material Type]]="Ligand","D13","D12"))</f>
        <v>D12</v>
      </c>
      <c r="AI321" s="369" t="str">
        <f ca="1">IF(RawMaterials[[#This Row],[Lab Quote Count]]&gt;1,10^RawMaterials[[#This Row],[Lab Log-Log Intercept]]*INDIRECT(RawMaterials[[#This Row],[Basis Cell]])^RawMaterials[[#This Row],[Lab Log-Log Slope]],"&gt;&gt;&gt; Enter 2 or more lab quotes &lt;&lt;&lt;")</f>
        <v>&gt;&gt;&gt; Enter 2 or more lab quotes &lt;&lt;&lt;</v>
      </c>
      <c r="AJ3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0.71750000000000003</v>
      </c>
      <c r="AL321" s="372">
        <f>IF(ISTEXT(RawMaterials[[#This Row],[Unit price in quote year]]),"Check calcs",RawMaterials[[#This Row],[Unit price in quote year]]/VLOOKUP(RawMaterials[[#This Row],[Quote Year]],ChemPPI[],14,FALSE)*VLOOKUP(BasisYear,ChemPPI[],14,FALSE))</f>
        <v>0.97380208333333351</v>
      </c>
      <c r="AM321" s="373" t="str">
        <f t="shared" si="4"/>
        <v>$/lb (2016)</v>
      </c>
    </row>
    <row r="322" spans="1:39">
      <c r="A322" s="263" t="s">
        <v>1424</v>
      </c>
      <c r="B322" s="264"/>
      <c r="C322" s="271"/>
      <c r="D322" s="365">
        <v>0.85</v>
      </c>
      <c r="E322" s="264">
        <v>100</v>
      </c>
      <c r="F322" s="264"/>
      <c r="G322" s="271"/>
      <c r="H322" s="271"/>
      <c r="I322" s="268"/>
      <c r="J322" s="271"/>
      <c r="K322" s="271"/>
      <c r="L322" s="271"/>
      <c r="M322" s="271"/>
      <c r="N322" s="271"/>
      <c r="O322" s="271"/>
      <c r="P322" s="265">
        <v>5.85</v>
      </c>
      <c r="Q322" s="264">
        <v>1</v>
      </c>
      <c r="R322" s="264" t="s">
        <v>85</v>
      </c>
      <c r="S322" s="264">
        <v>2006</v>
      </c>
      <c r="T322" s="266" t="s">
        <v>163</v>
      </c>
      <c r="U322" s="267">
        <v>42653</v>
      </c>
      <c r="V322" s="269"/>
      <c r="W322" s="366">
        <f>COUNT(RawMaterials[[#This Row],[Lab Quantity 1]:[Lab Quantity 4]])</f>
        <v>0</v>
      </c>
      <c r="X3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2" s="367" t="e">
        <f>RawMaterials[[#This Row],[Lab Price 1]]/RawMaterials[[#This Row],[Lab Q Model Units 1]]</f>
        <v>#N/A</v>
      </c>
      <c r="AC322" s="367" t="e">
        <f>RawMaterials[[#This Row],[Lab Price 2]]/RawMaterials[[#This Row],[Lab Q Model Units 2]]</f>
        <v>#N/A</v>
      </c>
      <c r="AD322" s="367" t="e">
        <f>RawMaterials[[#This Row],[Lab Price 3]]/RawMaterials[[#This Row],[Lab Q Model Units 3]]</f>
        <v>#N/A</v>
      </c>
      <c r="AE322" s="367" t="e">
        <f>RawMaterials[[#This Row],[Lab Price 4]]/RawMaterials[[#This Row],[Lab Q Model Units 4]]</f>
        <v>#N/A</v>
      </c>
      <c r="AF322" s="367" t="str">
        <f ca="1">IF(RawMaterials[[#This Row],[Lab Quote Count]]&gt;1,SLOPE(LOG(INDIRECT("RawMaterials[@[Lab Unit P 1]:[Lab Unit P "&amp;RawMaterials[[#This Row],[Lab Quote Count]]&amp;"]]")),LOG(INDIRECT("RawMaterials[@[Lab Q Model Units 1]:[Lab Q Model Units "&amp;RawMaterials[[#This Row],[Lab Quote Count]]&amp;"]]"))),"")</f>
        <v/>
      </c>
      <c r="AG322" s="367" t="str">
        <f ca="1">IF(RawMaterials[[#This Row],[Lab Quote Count]]&gt;1,INTERCEPT(LOG(INDIRECT("RawMaterials[@[Lab Unit P 1]:[Lab Unit P "&amp;RawMaterials[[#This Row],[Lab Quote Count]]&amp;"]]")),LOG(INDIRECT("RawMaterials[@[Lab Q Model Units 1]:[Lab Q Model Units "&amp;RawMaterials[[#This Row],[Lab Quote Count]]&amp;"]]"))),"")</f>
        <v/>
      </c>
      <c r="AH322" s="368" t="str">
        <f>IF(RawMaterials[[#This Row],[Material Type]]="Metal Precursor","D13",IF(RawMaterials[[#This Row],[Material Type]]="Ligand","D13","D12"))</f>
        <v>D12</v>
      </c>
      <c r="AI322" s="369" t="str">
        <f ca="1">IF(RawMaterials[[#This Row],[Lab Quote Count]]&gt;1,10^RawMaterials[[#This Row],[Lab Log-Log Intercept]]*INDIRECT(RawMaterials[[#This Row],[Basis Cell]])^RawMaterials[[#This Row],[Lab Log-Log Slope]],"&gt;&gt;&gt; Enter 2 or more lab quotes &lt;&lt;&lt;")</f>
        <v>&gt;&gt;&gt; Enter 2 or more lab quotes &lt;&lt;&lt;</v>
      </c>
      <c r="AJ3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0.82468776447511205</v>
      </c>
      <c r="AL322" s="372">
        <f>IF(ISTEXT(RawMaterials[[#This Row],[Unit price in quote year]]),"Check calcs",RawMaterials[[#This Row],[Unit price in quote year]]/VLOOKUP(RawMaterials[[#This Row],[Quote Year]],ChemPPI[],14,FALSE)*VLOOKUP(BasisYear,ChemPPI[],14,FALSE))</f>
        <v>1.1192789730249109</v>
      </c>
      <c r="AM322" s="373" t="str">
        <f t="shared" si="4"/>
        <v>$/lb (2016)</v>
      </c>
    </row>
    <row r="323" spans="1:39">
      <c r="A323" s="263" t="s">
        <v>1425</v>
      </c>
      <c r="B323" s="264"/>
      <c r="C323" s="271"/>
      <c r="D323" s="365">
        <v>0.85</v>
      </c>
      <c r="E323" s="264">
        <v>100</v>
      </c>
      <c r="F323" s="264"/>
      <c r="G323" s="271"/>
      <c r="H323" s="271"/>
      <c r="I323" s="268"/>
      <c r="J323" s="271"/>
      <c r="K323" s="271"/>
      <c r="L323" s="271"/>
      <c r="M323" s="271"/>
      <c r="N323" s="271"/>
      <c r="O323" s="271"/>
      <c r="P323" s="265">
        <v>5.87</v>
      </c>
      <c r="Q323" s="264">
        <v>1</v>
      </c>
      <c r="R323" s="264" t="s">
        <v>85</v>
      </c>
      <c r="S323" s="264">
        <v>2006</v>
      </c>
      <c r="T323" s="266" t="s">
        <v>163</v>
      </c>
      <c r="U323" s="267">
        <v>42653</v>
      </c>
      <c r="V323" s="269"/>
      <c r="W323" s="366">
        <f>COUNT(RawMaterials[[#This Row],[Lab Quantity 1]:[Lab Quantity 4]])</f>
        <v>0</v>
      </c>
      <c r="X3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3" s="367" t="e">
        <f>RawMaterials[[#This Row],[Lab Price 1]]/RawMaterials[[#This Row],[Lab Q Model Units 1]]</f>
        <v>#N/A</v>
      </c>
      <c r="AC323" s="367" t="e">
        <f>RawMaterials[[#This Row],[Lab Price 2]]/RawMaterials[[#This Row],[Lab Q Model Units 2]]</f>
        <v>#N/A</v>
      </c>
      <c r="AD323" s="367" t="e">
        <f>RawMaterials[[#This Row],[Lab Price 3]]/RawMaterials[[#This Row],[Lab Q Model Units 3]]</f>
        <v>#N/A</v>
      </c>
      <c r="AE323" s="367" t="e">
        <f>RawMaterials[[#This Row],[Lab Price 4]]/RawMaterials[[#This Row],[Lab Q Model Units 4]]</f>
        <v>#N/A</v>
      </c>
      <c r="AF323" s="367" t="str">
        <f ca="1">IF(RawMaterials[[#This Row],[Lab Quote Count]]&gt;1,SLOPE(LOG(INDIRECT("RawMaterials[@[Lab Unit P 1]:[Lab Unit P "&amp;RawMaterials[[#This Row],[Lab Quote Count]]&amp;"]]")),LOG(INDIRECT("RawMaterials[@[Lab Q Model Units 1]:[Lab Q Model Units "&amp;RawMaterials[[#This Row],[Lab Quote Count]]&amp;"]]"))),"")</f>
        <v/>
      </c>
      <c r="AG323" s="367" t="str">
        <f ca="1">IF(RawMaterials[[#This Row],[Lab Quote Count]]&gt;1,INTERCEPT(LOG(INDIRECT("RawMaterials[@[Lab Unit P 1]:[Lab Unit P "&amp;RawMaterials[[#This Row],[Lab Quote Count]]&amp;"]]")),LOG(INDIRECT("RawMaterials[@[Lab Q Model Units 1]:[Lab Q Model Units "&amp;RawMaterials[[#This Row],[Lab Quote Count]]&amp;"]]"))),"")</f>
        <v/>
      </c>
      <c r="AH323" s="368" t="str">
        <f>IF(RawMaterials[[#This Row],[Material Type]]="Metal Precursor","D13",IF(RawMaterials[[#This Row],[Material Type]]="Ligand","D13","D12"))</f>
        <v>D12</v>
      </c>
      <c r="AI323" s="369" t="str">
        <f ca="1">IF(RawMaterials[[#This Row],[Lab Quote Count]]&gt;1,10^RawMaterials[[#This Row],[Lab Log-Log Intercept]]*INDIRECT(RawMaterials[[#This Row],[Basis Cell]])^RawMaterials[[#This Row],[Lab Log-Log Slope]],"&gt;&gt;&gt; Enter 2 or more lab quotes &lt;&lt;&lt;")</f>
        <v>&gt;&gt;&gt; Enter 2 or more lab quotes &lt;&lt;&lt;</v>
      </c>
      <c r="AJ3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0.82750720982374504</v>
      </c>
      <c r="AL323" s="372">
        <f>IF(ISTEXT(RawMaterials[[#This Row],[Unit price in quote year]]),"Check calcs",RawMaterials[[#This Row],[Unit price in quote year]]/VLOOKUP(RawMaterials[[#This Row],[Quote Year]],ChemPPI[],14,FALSE)*VLOOKUP(BasisYear,ChemPPI[],14,FALSE))</f>
        <v>1.1231055678044835</v>
      </c>
      <c r="AM323" s="373" t="str">
        <f t="shared" si="4"/>
        <v>$/lb (2016)</v>
      </c>
    </row>
    <row r="324" spans="1:39">
      <c r="A324" s="263" t="s">
        <v>1426</v>
      </c>
      <c r="B324" s="264"/>
      <c r="C324" s="271"/>
      <c r="D324" s="365">
        <v>0.85</v>
      </c>
      <c r="E324" s="264">
        <v>100</v>
      </c>
      <c r="F324" s="264"/>
      <c r="G324" s="271"/>
      <c r="H324" s="271"/>
      <c r="I324" s="268"/>
      <c r="J324" s="271"/>
      <c r="K324" s="271"/>
      <c r="L324" s="271"/>
      <c r="M324" s="271"/>
      <c r="N324" s="271"/>
      <c r="O324" s="271"/>
      <c r="P324" s="265">
        <v>5.96</v>
      </c>
      <c r="Q324" s="264">
        <v>1</v>
      </c>
      <c r="R324" s="264" t="s">
        <v>85</v>
      </c>
      <c r="S324" s="264">
        <v>2006</v>
      </c>
      <c r="T324" s="266" t="s">
        <v>163</v>
      </c>
      <c r="U324" s="267">
        <v>42653</v>
      </c>
      <c r="V324" s="269"/>
      <c r="W324" s="366">
        <f>COUNT(RawMaterials[[#This Row],[Lab Quantity 1]:[Lab Quantity 4]])</f>
        <v>0</v>
      </c>
      <c r="X3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4" s="367" t="e">
        <f>RawMaterials[[#This Row],[Lab Price 1]]/RawMaterials[[#This Row],[Lab Q Model Units 1]]</f>
        <v>#N/A</v>
      </c>
      <c r="AC324" s="367" t="e">
        <f>RawMaterials[[#This Row],[Lab Price 2]]/RawMaterials[[#This Row],[Lab Q Model Units 2]]</f>
        <v>#N/A</v>
      </c>
      <c r="AD324" s="367" t="e">
        <f>RawMaterials[[#This Row],[Lab Price 3]]/RawMaterials[[#This Row],[Lab Q Model Units 3]]</f>
        <v>#N/A</v>
      </c>
      <c r="AE324" s="367" t="e">
        <f>RawMaterials[[#This Row],[Lab Price 4]]/RawMaterials[[#This Row],[Lab Q Model Units 4]]</f>
        <v>#N/A</v>
      </c>
      <c r="AF324" s="367" t="str">
        <f ca="1">IF(RawMaterials[[#This Row],[Lab Quote Count]]&gt;1,SLOPE(LOG(INDIRECT("RawMaterials[@[Lab Unit P 1]:[Lab Unit P "&amp;RawMaterials[[#This Row],[Lab Quote Count]]&amp;"]]")),LOG(INDIRECT("RawMaterials[@[Lab Q Model Units 1]:[Lab Q Model Units "&amp;RawMaterials[[#This Row],[Lab Quote Count]]&amp;"]]"))),"")</f>
        <v/>
      </c>
      <c r="AG324" s="367" t="str">
        <f ca="1">IF(RawMaterials[[#This Row],[Lab Quote Count]]&gt;1,INTERCEPT(LOG(INDIRECT("RawMaterials[@[Lab Unit P 1]:[Lab Unit P "&amp;RawMaterials[[#This Row],[Lab Quote Count]]&amp;"]]")),LOG(INDIRECT("RawMaterials[@[Lab Q Model Units 1]:[Lab Q Model Units "&amp;RawMaterials[[#This Row],[Lab Quote Count]]&amp;"]]"))),"")</f>
        <v/>
      </c>
      <c r="AH324" s="368" t="str">
        <f>IF(RawMaterials[[#This Row],[Material Type]]="Metal Precursor","D13",IF(RawMaterials[[#This Row],[Material Type]]="Ligand","D13","D12"))</f>
        <v>D12</v>
      </c>
      <c r="AI324" s="369" t="str">
        <f ca="1">IF(RawMaterials[[#This Row],[Lab Quote Count]]&gt;1,10^RawMaterials[[#This Row],[Lab Log-Log Intercept]]*INDIRECT(RawMaterials[[#This Row],[Basis Cell]])^RawMaterials[[#This Row],[Lab Log-Log Slope]],"&gt;&gt;&gt; Enter 2 or more lab quotes &lt;&lt;&lt;")</f>
        <v>&gt;&gt;&gt; Enter 2 or more lab quotes &lt;&lt;&lt;</v>
      </c>
      <c r="AJ3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0.84019471389259293</v>
      </c>
      <c r="AL324" s="372">
        <f>IF(ISTEXT(RawMaterials[[#This Row],[Unit price in quote year]]),"Check calcs",RawMaterials[[#This Row],[Unit price in quote year]]/VLOOKUP(RawMaterials[[#This Row],[Quote Year]],ChemPPI[],14,FALSE)*VLOOKUP(BasisYear,ChemPPI[],14,FALSE))</f>
        <v>1.1403252443125589</v>
      </c>
      <c r="AM324" s="373" t="str">
        <f t="shared" si="4"/>
        <v>$/lb (2016)</v>
      </c>
    </row>
    <row r="325" spans="1:39">
      <c r="A325" s="263" t="s">
        <v>1427</v>
      </c>
      <c r="B325" s="264"/>
      <c r="C325" s="271"/>
      <c r="D325" s="365">
        <v>0.85</v>
      </c>
      <c r="E325" s="264">
        <v>100</v>
      </c>
      <c r="F325" s="264"/>
      <c r="G325" s="271"/>
      <c r="H325" s="271"/>
      <c r="I325" s="268"/>
      <c r="J325" s="271"/>
      <c r="K325" s="271"/>
      <c r="L325" s="271"/>
      <c r="M325" s="271"/>
      <c r="N325" s="271"/>
      <c r="O325" s="271"/>
      <c r="P325" s="265">
        <v>5.69</v>
      </c>
      <c r="Q325" s="264">
        <v>1</v>
      </c>
      <c r="R325" s="264" t="s">
        <v>85</v>
      </c>
      <c r="S325" s="264">
        <v>2006</v>
      </c>
      <c r="T325" s="266" t="s">
        <v>163</v>
      </c>
      <c r="U325" s="267">
        <v>42653</v>
      </c>
      <c r="V325" s="269"/>
      <c r="W325" s="366">
        <f>COUNT(RawMaterials[[#This Row],[Lab Quantity 1]:[Lab Quantity 4]])</f>
        <v>0</v>
      </c>
      <c r="X3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5" s="367" t="e">
        <f>RawMaterials[[#This Row],[Lab Price 1]]/RawMaterials[[#This Row],[Lab Q Model Units 1]]</f>
        <v>#N/A</v>
      </c>
      <c r="AC325" s="367" t="e">
        <f>RawMaterials[[#This Row],[Lab Price 2]]/RawMaterials[[#This Row],[Lab Q Model Units 2]]</f>
        <v>#N/A</v>
      </c>
      <c r="AD325" s="367" t="e">
        <f>RawMaterials[[#This Row],[Lab Price 3]]/RawMaterials[[#This Row],[Lab Q Model Units 3]]</f>
        <v>#N/A</v>
      </c>
      <c r="AE325" s="367" t="e">
        <f>RawMaterials[[#This Row],[Lab Price 4]]/RawMaterials[[#This Row],[Lab Q Model Units 4]]</f>
        <v>#N/A</v>
      </c>
      <c r="AF325" s="367" t="str">
        <f ca="1">IF(RawMaterials[[#This Row],[Lab Quote Count]]&gt;1,SLOPE(LOG(INDIRECT("RawMaterials[@[Lab Unit P 1]:[Lab Unit P "&amp;RawMaterials[[#This Row],[Lab Quote Count]]&amp;"]]")),LOG(INDIRECT("RawMaterials[@[Lab Q Model Units 1]:[Lab Q Model Units "&amp;RawMaterials[[#This Row],[Lab Quote Count]]&amp;"]]"))),"")</f>
        <v/>
      </c>
      <c r="AG325" s="367" t="str">
        <f ca="1">IF(RawMaterials[[#This Row],[Lab Quote Count]]&gt;1,INTERCEPT(LOG(INDIRECT("RawMaterials[@[Lab Unit P 1]:[Lab Unit P "&amp;RawMaterials[[#This Row],[Lab Quote Count]]&amp;"]]")),LOG(INDIRECT("RawMaterials[@[Lab Q Model Units 1]:[Lab Q Model Units "&amp;RawMaterials[[#This Row],[Lab Quote Count]]&amp;"]]"))),"")</f>
        <v/>
      </c>
      <c r="AH325" s="368" t="str">
        <f>IF(RawMaterials[[#This Row],[Material Type]]="Metal Precursor","D13",IF(RawMaterials[[#This Row],[Material Type]]="Ligand","D13","D12"))</f>
        <v>D12</v>
      </c>
      <c r="AI325" s="369" t="str">
        <f ca="1">IF(RawMaterials[[#This Row],[Lab Quote Count]]&gt;1,10^RawMaterials[[#This Row],[Lab Log-Log Intercept]]*INDIRECT(RawMaterials[[#This Row],[Basis Cell]])^RawMaterials[[#This Row],[Lab Log-Log Slope]],"&gt;&gt;&gt; Enter 2 or more lab quotes &lt;&lt;&lt;")</f>
        <v>&gt;&gt;&gt; Enter 2 or more lab quotes &lt;&lt;&lt;</v>
      </c>
      <c r="AJ3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0.80213220168604926</v>
      </c>
      <c r="AL325" s="372">
        <f>IF(ISTEXT(RawMaterials[[#This Row],[Unit price in quote year]]),"Check calcs",RawMaterials[[#This Row],[Unit price in quote year]]/VLOOKUP(RawMaterials[[#This Row],[Quote Year]],ChemPPI[],14,FALSE)*VLOOKUP(BasisYear,ChemPPI[],14,FALSE))</f>
        <v>1.0886662147883321</v>
      </c>
      <c r="AM325" s="373" t="str">
        <f t="shared" si="4"/>
        <v>$/lb (2016)</v>
      </c>
    </row>
    <row r="326" spans="1:39">
      <c r="A326" s="263" t="s">
        <v>1428</v>
      </c>
      <c r="B326" s="264"/>
      <c r="C326" s="271"/>
      <c r="D326" s="365">
        <v>0.85</v>
      </c>
      <c r="E326" s="264">
        <v>100</v>
      </c>
      <c r="F326" s="264"/>
      <c r="G326" s="271"/>
      <c r="H326" s="271"/>
      <c r="I326" s="268"/>
      <c r="J326" s="271"/>
      <c r="K326" s="271"/>
      <c r="L326" s="271"/>
      <c r="M326" s="271"/>
      <c r="N326" s="271"/>
      <c r="O326" s="271"/>
      <c r="P326" s="265">
        <v>5.54</v>
      </c>
      <c r="Q326" s="264">
        <v>1</v>
      </c>
      <c r="R326" s="264" t="s">
        <v>85</v>
      </c>
      <c r="S326" s="264">
        <v>2006</v>
      </c>
      <c r="T326" s="266" t="s">
        <v>163</v>
      </c>
      <c r="U326" s="267">
        <v>42653</v>
      </c>
      <c r="V326" s="269"/>
      <c r="W326" s="366">
        <f>COUNT(RawMaterials[[#This Row],[Lab Quantity 1]:[Lab Quantity 4]])</f>
        <v>0</v>
      </c>
      <c r="X3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6" s="367" t="e">
        <f>RawMaterials[[#This Row],[Lab Price 1]]/RawMaterials[[#This Row],[Lab Q Model Units 1]]</f>
        <v>#N/A</v>
      </c>
      <c r="AC326" s="367" t="e">
        <f>RawMaterials[[#This Row],[Lab Price 2]]/RawMaterials[[#This Row],[Lab Q Model Units 2]]</f>
        <v>#N/A</v>
      </c>
      <c r="AD326" s="367" t="e">
        <f>RawMaterials[[#This Row],[Lab Price 3]]/RawMaterials[[#This Row],[Lab Q Model Units 3]]</f>
        <v>#N/A</v>
      </c>
      <c r="AE326" s="367" t="e">
        <f>RawMaterials[[#This Row],[Lab Price 4]]/RawMaterials[[#This Row],[Lab Q Model Units 4]]</f>
        <v>#N/A</v>
      </c>
      <c r="AF326" s="367" t="str">
        <f ca="1">IF(RawMaterials[[#This Row],[Lab Quote Count]]&gt;1,SLOPE(LOG(INDIRECT("RawMaterials[@[Lab Unit P 1]:[Lab Unit P "&amp;RawMaterials[[#This Row],[Lab Quote Count]]&amp;"]]")),LOG(INDIRECT("RawMaterials[@[Lab Q Model Units 1]:[Lab Q Model Units "&amp;RawMaterials[[#This Row],[Lab Quote Count]]&amp;"]]"))),"")</f>
        <v/>
      </c>
      <c r="AG326" s="367" t="str">
        <f ca="1">IF(RawMaterials[[#This Row],[Lab Quote Count]]&gt;1,INTERCEPT(LOG(INDIRECT("RawMaterials[@[Lab Unit P 1]:[Lab Unit P "&amp;RawMaterials[[#This Row],[Lab Quote Count]]&amp;"]]")),LOG(INDIRECT("RawMaterials[@[Lab Q Model Units 1]:[Lab Q Model Units "&amp;RawMaterials[[#This Row],[Lab Quote Count]]&amp;"]]"))),"")</f>
        <v/>
      </c>
      <c r="AH326" s="368" t="str">
        <f>IF(RawMaterials[[#This Row],[Material Type]]="Metal Precursor","D13",IF(RawMaterials[[#This Row],[Material Type]]="Ligand","D13","D12"))</f>
        <v>D12</v>
      </c>
      <c r="AI326" s="369" t="str">
        <f ca="1">IF(RawMaterials[[#This Row],[Lab Quote Count]]&gt;1,10^RawMaterials[[#This Row],[Lab Log-Log Intercept]]*INDIRECT(RawMaterials[[#This Row],[Basis Cell]])^RawMaterials[[#This Row],[Lab Log-Log Slope]],"&gt;&gt;&gt; Enter 2 or more lab quotes &lt;&lt;&lt;")</f>
        <v>&gt;&gt;&gt; Enter 2 or more lab quotes &lt;&lt;&lt;</v>
      </c>
      <c r="AJ3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0.78098636157130275</v>
      </c>
      <c r="AL326" s="372">
        <f>IF(ISTEXT(RawMaterials[[#This Row],[Unit price in quote year]]),"Check calcs",RawMaterials[[#This Row],[Unit price in quote year]]/VLOOKUP(RawMaterials[[#This Row],[Quote Year]],ChemPPI[],14,FALSE)*VLOOKUP(BasisYear,ChemPPI[],14,FALSE))</f>
        <v>1.0599667539415398</v>
      </c>
      <c r="AM326" s="373" t="str">
        <f t="shared" si="4"/>
        <v>$/lb (2016)</v>
      </c>
    </row>
    <row r="327" spans="1:39">
      <c r="A327" s="263" t="s">
        <v>1429</v>
      </c>
      <c r="B327" s="264"/>
      <c r="C327" s="271"/>
      <c r="D327" s="365">
        <v>0.85</v>
      </c>
      <c r="E327" s="264">
        <v>100</v>
      </c>
      <c r="F327" s="264"/>
      <c r="G327" s="271"/>
      <c r="H327" s="271"/>
      <c r="I327" s="268"/>
      <c r="J327" s="271"/>
      <c r="K327" s="271"/>
      <c r="L327" s="271"/>
      <c r="M327" s="271"/>
      <c r="N327" s="271"/>
      <c r="O327" s="271"/>
      <c r="P327" s="265">
        <v>5.58</v>
      </c>
      <c r="Q327" s="264">
        <v>1</v>
      </c>
      <c r="R327" s="264" t="s">
        <v>85</v>
      </c>
      <c r="S327" s="264">
        <v>2006</v>
      </c>
      <c r="T327" s="266" t="s">
        <v>163</v>
      </c>
      <c r="U327" s="267">
        <v>42653</v>
      </c>
      <c r="V327" s="269"/>
      <c r="W327" s="366">
        <f>COUNT(RawMaterials[[#This Row],[Lab Quantity 1]:[Lab Quantity 4]])</f>
        <v>0</v>
      </c>
      <c r="X3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7" s="367" t="e">
        <f>RawMaterials[[#This Row],[Lab Price 1]]/RawMaterials[[#This Row],[Lab Q Model Units 1]]</f>
        <v>#N/A</v>
      </c>
      <c r="AC327" s="367" t="e">
        <f>RawMaterials[[#This Row],[Lab Price 2]]/RawMaterials[[#This Row],[Lab Q Model Units 2]]</f>
        <v>#N/A</v>
      </c>
      <c r="AD327" s="367" t="e">
        <f>RawMaterials[[#This Row],[Lab Price 3]]/RawMaterials[[#This Row],[Lab Q Model Units 3]]</f>
        <v>#N/A</v>
      </c>
      <c r="AE327" s="367" t="e">
        <f>RawMaterials[[#This Row],[Lab Price 4]]/RawMaterials[[#This Row],[Lab Q Model Units 4]]</f>
        <v>#N/A</v>
      </c>
      <c r="AF327" s="367" t="str">
        <f ca="1">IF(RawMaterials[[#This Row],[Lab Quote Count]]&gt;1,SLOPE(LOG(INDIRECT("RawMaterials[@[Lab Unit P 1]:[Lab Unit P "&amp;RawMaterials[[#This Row],[Lab Quote Count]]&amp;"]]")),LOG(INDIRECT("RawMaterials[@[Lab Q Model Units 1]:[Lab Q Model Units "&amp;RawMaterials[[#This Row],[Lab Quote Count]]&amp;"]]"))),"")</f>
        <v/>
      </c>
      <c r="AG327" s="367" t="str">
        <f ca="1">IF(RawMaterials[[#This Row],[Lab Quote Count]]&gt;1,INTERCEPT(LOG(INDIRECT("RawMaterials[@[Lab Unit P 1]:[Lab Unit P "&amp;RawMaterials[[#This Row],[Lab Quote Count]]&amp;"]]")),LOG(INDIRECT("RawMaterials[@[Lab Q Model Units 1]:[Lab Q Model Units "&amp;RawMaterials[[#This Row],[Lab Quote Count]]&amp;"]]"))),"")</f>
        <v/>
      </c>
      <c r="AH327" s="368" t="str">
        <f>IF(RawMaterials[[#This Row],[Material Type]]="Metal Precursor","D13",IF(RawMaterials[[#This Row],[Material Type]]="Ligand","D13","D12"))</f>
        <v>D12</v>
      </c>
      <c r="AI327" s="369" t="str">
        <f ca="1">IF(RawMaterials[[#This Row],[Lab Quote Count]]&gt;1,10^RawMaterials[[#This Row],[Lab Log-Log Intercept]]*INDIRECT(RawMaterials[[#This Row],[Basis Cell]])^RawMaterials[[#This Row],[Lab Log-Log Slope]],"&gt;&gt;&gt; Enter 2 or more lab quotes &lt;&lt;&lt;")</f>
        <v>&gt;&gt;&gt; Enter 2 or more lab quotes &lt;&lt;&lt;</v>
      </c>
      <c r="AJ3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0.7866252522685685</v>
      </c>
      <c r="AL327" s="372">
        <f>IF(ISTEXT(RawMaterials[[#This Row],[Unit price in quote year]]),"Check calcs",RawMaterials[[#This Row],[Unit price in quote year]]/VLOOKUP(RawMaterials[[#This Row],[Quote Year]],ChemPPI[],14,FALSE)*VLOOKUP(BasisYear,ChemPPI[],14,FALSE))</f>
        <v>1.0676199435006843</v>
      </c>
      <c r="AM327" s="373" t="str">
        <f t="shared" si="4"/>
        <v>$/lb (2016)</v>
      </c>
    </row>
    <row r="328" spans="1:39">
      <c r="A328" s="263" t="s">
        <v>1430</v>
      </c>
      <c r="B328" s="264"/>
      <c r="C328" s="271"/>
      <c r="D328" s="365">
        <v>0.85</v>
      </c>
      <c r="E328" s="264">
        <v>100</v>
      </c>
      <c r="F328" s="264"/>
      <c r="G328" s="271"/>
      <c r="H328" s="271"/>
      <c r="I328" s="268"/>
      <c r="J328" s="271"/>
      <c r="K328" s="271"/>
      <c r="L328" s="271"/>
      <c r="M328" s="271"/>
      <c r="N328" s="271"/>
      <c r="O328" s="271"/>
      <c r="P328" s="265">
        <v>5.61</v>
      </c>
      <c r="Q328" s="264">
        <v>1</v>
      </c>
      <c r="R328" s="264" t="s">
        <v>85</v>
      </c>
      <c r="S328" s="264">
        <v>2006</v>
      </c>
      <c r="T328" s="266" t="s">
        <v>163</v>
      </c>
      <c r="U328" s="267">
        <v>42653</v>
      </c>
      <c r="V328" s="269"/>
      <c r="W328" s="366">
        <f>COUNT(RawMaterials[[#This Row],[Lab Quantity 1]:[Lab Quantity 4]])</f>
        <v>0</v>
      </c>
      <c r="X3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8" s="367" t="e">
        <f>RawMaterials[[#This Row],[Lab Price 1]]/RawMaterials[[#This Row],[Lab Q Model Units 1]]</f>
        <v>#N/A</v>
      </c>
      <c r="AC328" s="367" t="e">
        <f>RawMaterials[[#This Row],[Lab Price 2]]/RawMaterials[[#This Row],[Lab Q Model Units 2]]</f>
        <v>#N/A</v>
      </c>
      <c r="AD328" s="367" t="e">
        <f>RawMaterials[[#This Row],[Lab Price 3]]/RawMaterials[[#This Row],[Lab Q Model Units 3]]</f>
        <v>#N/A</v>
      </c>
      <c r="AE328" s="367" t="e">
        <f>RawMaterials[[#This Row],[Lab Price 4]]/RawMaterials[[#This Row],[Lab Q Model Units 4]]</f>
        <v>#N/A</v>
      </c>
      <c r="AF328" s="367" t="str">
        <f ca="1">IF(RawMaterials[[#This Row],[Lab Quote Count]]&gt;1,SLOPE(LOG(INDIRECT("RawMaterials[@[Lab Unit P 1]:[Lab Unit P "&amp;RawMaterials[[#This Row],[Lab Quote Count]]&amp;"]]")),LOG(INDIRECT("RawMaterials[@[Lab Q Model Units 1]:[Lab Q Model Units "&amp;RawMaterials[[#This Row],[Lab Quote Count]]&amp;"]]"))),"")</f>
        <v/>
      </c>
      <c r="AG328" s="367" t="str">
        <f ca="1">IF(RawMaterials[[#This Row],[Lab Quote Count]]&gt;1,INTERCEPT(LOG(INDIRECT("RawMaterials[@[Lab Unit P 1]:[Lab Unit P "&amp;RawMaterials[[#This Row],[Lab Quote Count]]&amp;"]]")),LOG(INDIRECT("RawMaterials[@[Lab Q Model Units 1]:[Lab Q Model Units "&amp;RawMaterials[[#This Row],[Lab Quote Count]]&amp;"]]"))),"")</f>
        <v/>
      </c>
      <c r="AH328" s="368" t="str">
        <f>IF(RawMaterials[[#This Row],[Material Type]]="Metal Precursor","D13",IF(RawMaterials[[#This Row],[Material Type]]="Ligand","D13","D12"))</f>
        <v>D12</v>
      </c>
      <c r="AI328" s="369" t="str">
        <f ca="1">IF(RawMaterials[[#This Row],[Lab Quote Count]]&gt;1,10^RawMaterials[[#This Row],[Lab Log-Log Intercept]]*INDIRECT(RawMaterials[[#This Row],[Basis Cell]])^RawMaterials[[#This Row],[Lab Log-Log Slope]],"&gt;&gt;&gt; Enter 2 or more lab quotes &lt;&lt;&lt;")</f>
        <v>&gt;&gt;&gt; Enter 2 or more lab quotes &lt;&lt;&lt;</v>
      </c>
      <c r="AJ3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7.0935937842164316</v>
      </c>
      <c r="AK3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0.79085442029151787</v>
      </c>
      <c r="AL328" s="372">
        <f>IF(ISTEXT(RawMaterials[[#This Row],[Unit price in quote year]]),"Check calcs",RawMaterials[[#This Row],[Unit price in quote year]]/VLOOKUP(RawMaterials[[#This Row],[Quote Year]],ChemPPI[],14,FALSE)*VLOOKUP(BasisYear,ChemPPI[],14,FALSE))</f>
        <v>1.0733598356700431</v>
      </c>
      <c r="AM328" s="373" t="str">
        <f t="shared" si="4"/>
        <v>$/lb (2016)</v>
      </c>
    </row>
    <row r="329" spans="1:39">
      <c r="A329" s="377" t="s">
        <v>182</v>
      </c>
      <c r="B329" s="379"/>
      <c r="C329" s="383"/>
      <c r="D329" s="378"/>
      <c r="E329" s="379">
        <v>100</v>
      </c>
      <c r="F329" s="379"/>
      <c r="G329" s="383"/>
      <c r="H329" s="383"/>
      <c r="I329" s="380"/>
      <c r="J329" s="383"/>
      <c r="K329" s="383"/>
      <c r="L329" s="383"/>
      <c r="M329" s="383"/>
      <c r="N329" s="383"/>
      <c r="O329" s="383"/>
      <c r="P329" s="381">
        <v>24000</v>
      </c>
      <c r="Q329" s="264">
        <v>1</v>
      </c>
      <c r="R329" s="379" t="s">
        <v>1123</v>
      </c>
      <c r="S329" s="379">
        <v>2018</v>
      </c>
      <c r="T329" s="366" t="s">
        <v>1106</v>
      </c>
      <c r="U329" s="382">
        <v>43339</v>
      </c>
      <c r="V329" s="269" t="s">
        <v>1716</v>
      </c>
      <c r="W329" s="366">
        <f>COUNT(RawMaterials[[#This Row],[Lab Quantity 1]:[Lab Quantity 4]])</f>
        <v>0</v>
      </c>
      <c r="X3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29" s="367" t="e">
        <f>RawMaterials[[#This Row],[Lab Price 1]]/RawMaterials[[#This Row],[Lab Q Model Units 1]]</f>
        <v>#N/A</v>
      </c>
      <c r="AC329" s="367" t="e">
        <f>RawMaterials[[#This Row],[Lab Price 2]]/RawMaterials[[#This Row],[Lab Q Model Units 2]]</f>
        <v>#N/A</v>
      </c>
      <c r="AD329" s="367" t="e">
        <f>RawMaterials[[#This Row],[Lab Price 3]]/RawMaterials[[#This Row],[Lab Q Model Units 3]]</f>
        <v>#N/A</v>
      </c>
      <c r="AE329" s="367" t="e">
        <f>RawMaterials[[#This Row],[Lab Price 4]]/RawMaterials[[#This Row],[Lab Q Model Units 4]]</f>
        <v>#N/A</v>
      </c>
      <c r="AF329" s="367" t="str">
        <f ca="1">IF(RawMaterials[[#This Row],[Lab Quote Count]]&gt;1,SLOPE(LOG(INDIRECT("RawMaterials[@[Lab Unit P 1]:[Lab Unit P "&amp;RawMaterials[[#This Row],[Lab Quote Count]]&amp;"]]")),LOG(INDIRECT("RawMaterials[@[Lab Q Model Units 1]:[Lab Q Model Units "&amp;RawMaterials[[#This Row],[Lab Quote Count]]&amp;"]]"))),"")</f>
        <v/>
      </c>
      <c r="AG329" s="367" t="str">
        <f ca="1">IF(RawMaterials[[#This Row],[Lab Quote Count]]&gt;1,INTERCEPT(LOG(INDIRECT("RawMaterials[@[Lab Unit P 1]:[Lab Unit P "&amp;RawMaterials[[#This Row],[Lab Quote Count]]&amp;"]]")),LOG(INDIRECT("RawMaterials[@[Lab Q Model Units 1]:[Lab Q Model Units "&amp;RawMaterials[[#This Row],[Lab Quote Count]]&amp;"]]"))),"")</f>
        <v/>
      </c>
      <c r="AH329" s="368" t="str">
        <f>IF(RawMaterials[[#This Row],[Material Type]]="Metal Precursor","D13",IF(RawMaterials[[#This Row],[Material Type]]="Ligand","D13","D12"))</f>
        <v>D12</v>
      </c>
      <c r="AI329" s="369" t="str">
        <f ca="1">IF(RawMaterials[[#This Row],[Lab Quote Count]]&gt;1,10^RawMaterials[[#This Row],[Lab Log-Log Intercept]]*INDIRECT(RawMaterials[[#This Row],[Basis Cell]])^RawMaterials[[#This Row],[Lab Log-Log Slope]],"&gt;&gt;&gt; Enter 2 or more lab quotes &lt;&lt;&lt;")</f>
        <v>&gt;&gt;&gt; Enter 2 or more lab quotes &lt;&lt;&lt;</v>
      </c>
      <c r="AJ3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3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10.886216879999999</v>
      </c>
      <c r="AL329" s="372">
        <f>IF(ISTEXT(RawMaterials[[#This Row],[Unit price in quote year]]),"Check calcs",RawMaterials[[#This Row],[Unit price in quote year]]/VLOOKUP(RawMaterials[[#This Row],[Quote Year]],ChemPPI[],14,FALSE)*VLOOKUP(BasisYear,ChemPPI[],14,FALSE))</f>
        <v>10.114472410769443</v>
      </c>
      <c r="AM329" s="373" t="str">
        <f t="shared" si="4"/>
        <v>$/lb (2016)</v>
      </c>
    </row>
    <row r="330" spans="1:39">
      <c r="A330" s="263" t="s">
        <v>1431</v>
      </c>
      <c r="B330" s="264"/>
      <c r="C330" s="271"/>
      <c r="D330" s="365"/>
      <c r="E330" s="264">
        <v>100</v>
      </c>
      <c r="F330" s="264"/>
      <c r="G330" s="271"/>
      <c r="H330" s="271"/>
      <c r="I330" s="268"/>
      <c r="J330" s="271"/>
      <c r="K330" s="271"/>
      <c r="L330" s="271"/>
      <c r="M330" s="271"/>
      <c r="N330" s="271"/>
      <c r="O330" s="271"/>
      <c r="P330" s="265">
        <v>0.55000000000000004</v>
      </c>
      <c r="Q330" s="264">
        <v>1</v>
      </c>
      <c r="R330" s="264" t="s">
        <v>20</v>
      </c>
      <c r="S330" s="264">
        <v>2006</v>
      </c>
      <c r="T330" s="266" t="s">
        <v>163</v>
      </c>
      <c r="U330" s="267">
        <v>42653</v>
      </c>
      <c r="V330" s="269"/>
      <c r="W330" s="366">
        <f>COUNT(RawMaterials[[#This Row],[Lab Quantity 1]:[Lab Quantity 4]])</f>
        <v>0</v>
      </c>
      <c r="X3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0" s="367" t="e">
        <f>RawMaterials[[#This Row],[Lab Price 1]]/RawMaterials[[#This Row],[Lab Q Model Units 1]]</f>
        <v>#N/A</v>
      </c>
      <c r="AC330" s="367" t="e">
        <f>RawMaterials[[#This Row],[Lab Price 2]]/RawMaterials[[#This Row],[Lab Q Model Units 2]]</f>
        <v>#N/A</v>
      </c>
      <c r="AD330" s="367" t="e">
        <f>RawMaterials[[#This Row],[Lab Price 3]]/RawMaterials[[#This Row],[Lab Q Model Units 3]]</f>
        <v>#N/A</v>
      </c>
      <c r="AE330" s="367" t="e">
        <f>RawMaterials[[#This Row],[Lab Price 4]]/RawMaterials[[#This Row],[Lab Q Model Units 4]]</f>
        <v>#N/A</v>
      </c>
      <c r="AF330" s="367" t="str">
        <f ca="1">IF(RawMaterials[[#This Row],[Lab Quote Count]]&gt;1,SLOPE(LOG(INDIRECT("RawMaterials[@[Lab Unit P 1]:[Lab Unit P "&amp;RawMaterials[[#This Row],[Lab Quote Count]]&amp;"]]")),LOG(INDIRECT("RawMaterials[@[Lab Q Model Units 1]:[Lab Q Model Units "&amp;RawMaterials[[#This Row],[Lab Quote Count]]&amp;"]]"))),"")</f>
        <v/>
      </c>
      <c r="AG330" s="367" t="str">
        <f ca="1">IF(RawMaterials[[#This Row],[Lab Quote Count]]&gt;1,INTERCEPT(LOG(INDIRECT("RawMaterials[@[Lab Unit P 1]:[Lab Unit P "&amp;RawMaterials[[#This Row],[Lab Quote Count]]&amp;"]]")),LOG(INDIRECT("RawMaterials[@[Lab Q Model Units 1]:[Lab Q Model Units "&amp;RawMaterials[[#This Row],[Lab Quote Count]]&amp;"]]"))),"")</f>
        <v/>
      </c>
      <c r="AH330" s="368" t="str">
        <f>IF(RawMaterials[[#This Row],[Material Type]]="Metal Precursor","D13",IF(RawMaterials[[#This Row],[Material Type]]="Ligand","D13","D12"))</f>
        <v>D12</v>
      </c>
      <c r="AI330" s="369" t="str">
        <f ca="1">IF(RawMaterials[[#This Row],[Lab Quote Count]]&gt;1,10^RawMaterials[[#This Row],[Lab Log-Log Intercept]]*INDIRECT(RawMaterials[[#This Row],[Basis Cell]])^RawMaterials[[#This Row],[Lab Log-Log Slope]],"&gt;&gt;&gt; Enter 2 or more lab quotes &lt;&lt;&lt;")</f>
        <v>&gt;&gt;&gt; Enter 2 or more lab quotes &lt;&lt;&lt;</v>
      </c>
      <c r="AJ3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330" s="372">
        <f>IF(ISTEXT(RawMaterials[[#This Row],[Unit price in quote year]]),"Check calcs",RawMaterials[[#This Row],[Unit price in quote year]]/VLOOKUP(RawMaterials[[#This Row],[Quote Year]],ChemPPI[],14,FALSE)*VLOOKUP(BasisYear,ChemPPI[],14,FALSE))</f>
        <v>0.74646849593495956</v>
      </c>
      <c r="AM330" s="373" t="str">
        <f t="shared" si="4"/>
        <v>$/lb (2016)</v>
      </c>
    </row>
    <row r="331" spans="1:39">
      <c r="A331" s="263" t="s">
        <v>1432</v>
      </c>
      <c r="B331" s="264"/>
      <c r="C331" s="271"/>
      <c r="D331" s="365"/>
      <c r="E331" s="264">
        <v>100</v>
      </c>
      <c r="F331" s="264"/>
      <c r="G331" s="271"/>
      <c r="H331" s="271"/>
      <c r="I331" s="268"/>
      <c r="J331" s="271"/>
      <c r="K331" s="271"/>
      <c r="L331" s="271"/>
      <c r="M331" s="271"/>
      <c r="N331" s="271"/>
      <c r="O331" s="271"/>
      <c r="P331" s="265">
        <v>4.6100000000000003</v>
      </c>
      <c r="Q331" s="264">
        <v>1</v>
      </c>
      <c r="R331" s="264" t="s">
        <v>20</v>
      </c>
      <c r="S331" s="264">
        <v>2006</v>
      </c>
      <c r="T331" s="266" t="s">
        <v>163</v>
      </c>
      <c r="U331" s="267">
        <v>42653</v>
      </c>
      <c r="V331" s="269"/>
      <c r="W331" s="366">
        <f>COUNT(RawMaterials[[#This Row],[Lab Quantity 1]:[Lab Quantity 4]])</f>
        <v>0</v>
      </c>
      <c r="X3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1" s="367" t="e">
        <f>RawMaterials[[#This Row],[Lab Price 1]]/RawMaterials[[#This Row],[Lab Q Model Units 1]]</f>
        <v>#N/A</v>
      </c>
      <c r="AC331" s="367" t="e">
        <f>RawMaterials[[#This Row],[Lab Price 2]]/RawMaterials[[#This Row],[Lab Q Model Units 2]]</f>
        <v>#N/A</v>
      </c>
      <c r="AD331" s="367" t="e">
        <f>RawMaterials[[#This Row],[Lab Price 3]]/RawMaterials[[#This Row],[Lab Q Model Units 3]]</f>
        <v>#N/A</v>
      </c>
      <c r="AE331" s="367" t="e">
        <f>RawMaterials[[#This Row],[Lab Price 4]]/RawMaterials[[#This Row],[Lab Q Model Units 4]]</f>
        <v>#N/A</v>
      </c>
      <c r="AF331" s="367" t="str">
        <f ca="1">IF(RawMaterials[[#This Row],[Lab Quote Count]]&gt;1,SLOPE(LOG(INDIRECT("RawMaterials[@[Lab Unit P 1]:[Lab Unit P "&amp;RawMaterials[[#This Row],[Lab Quote Count]]&amp;"]]")),LOG(INDIRECT("RawMaterials[@[Lab Q Model Units 1]:[Lab Q Model Units "&amp;RawMaterials[[#This Row],[Lab Quote Count]]&amp;"]]"))),"")</f>
        <v/>
      </c>
      <c r="AG331" s="367" t="str">
        <f ca="1">IF(RawMaterials[[#This Row],[Lab Quote Count]]&gt;1,INTERCEPT(LOG(INDIRECT("RawMaterials[@[Lab Unit P 1]:[Lab Unit P "&amp;RawMaterials[[#This Row],[Lab Quote Count]]&amp;"]]")),LOG(INDIRECT("RawMaterials[@[Lab Q Model Units 1]:[Lab Q Model Units "&amp;RawMaterials[[#This Row],[Lab Quote Count]]&amp;"]]"))),"")</f>
        <v/>
      </c>
      <c r="AH331" s="368" t="str">
        <f>IF(RawMaterials[[#This Row],[Material Type]]="Metal Precursor","D13",IF(RawMaterials[[#This Row],[Material Type]]="Ligand","D13","D12"))</f>
        <v>D12</v>
      </c>
      <c r="AI331" s="369" t="str">
        <f ca="1">IF(RawMaterials[[#This Row],[Lab Quote Count]]&gt;1,10^RawMaterials[[#This Row],[Lab Log-Log Intercept]]*INDIRECT(RawMaterials[[#This Row],[Basis Cell]])^RawMaterials[[#This Row],[Lab Log-Log Slope]],"&gt;&gt;&gt; Enter 2 or more lab quotes &lt;&lt;&lt;")</f>
        <v>&gt;&gt;&gt; Enter 2 or more lab quotes &lt;&lt;&lt;</v>
      </c>
      <c r="AJ3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4.6100000000000003</v>
      </c>
      <c r="AL331" s="372">
        <f>IF(ISTEXT(RawMaterials[[#This Row],[Unit price in quote year]]),"Check calcs",RawMaterials[[#This Row],[Unit price in quote year]]/VLOOKUP(RawMaterials[[#This Row],[Quote Year]],ChemPPI[],14,FALSE)*VLOOKUP(BasisYear,ChemPPI[],14,FALSE))</f>
        <v>6.2567632113821157</v>
      </c>
      <c r="AM331" s="373" t="str">
        <f t="shared" si="4"/>
        <v>$/lb (2016)</v>
      </c>
    </row>
    <row r="332" spans="1:39">
      <c r="A332" s="263" t="s">
        <v>1433</v>
      </c>
      <c r="B332" s="264"/>
      <c r="C332" s="271"/>
      <c r="D332" s="365"/>
      <c r="E332" s="264">
        <v>100</v>
      </c>
      <c r="F332" s="264"/>
      <c r="G332" s="271"/>
      <c r="H332" s="271"/>
      <c r="I332" s="268"/>
      <c r="J332" s="271"/>
      <c r="K332" s="271"/>
      <c r="L332" s="271"/>
      <c r="M332" s="271"/>
      <c r="N332" s="271"/>
      <c r="O332" s="271"/>
      <c r="P332" s="265">
        <v>0.875</v>
      </c>
      <c r="Q332" s="264">
        <v>1</v>
      </c>
      <c r="R332" s="264" t="s">
        <v>20</v>
      </c>
      <c r="S332" s="264">
        <v>2006</v>
      </c>
      <c r="T332" s="266" t="s">
        <v>163</v>
      </c>
      <c r="U332" s="267">
        <v>42653</v>
      </c>
      <c r="V332" s="269"/>
      <c r="W332" s="366">
        <f>COUNT(RawMaterials[[#This Row],[Lab Quantity 1]:[Lab Quantity 4]])</f>
        <v>0</v>
      </c>
      <c r="X3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2" s="367" t="e">
        <f>RawMaterials[[#This Row],[Lab Price 1]]/RawMaterials[[#This Row],[Lab Q Model Units 1]]</f>
        <v>#N/A</v>
      </c>
      <c r="AC332" s="367" t="e">
        <f>RawMaterials[[#This Row],[Lab Price 2]]/RawMaterials[[#This Row],[Lab Q Model Units 2]]</f>
        <v>#N/A</v>
      </c>
      <c r="AD332" s="367" t="e">
        <f>RawMaterials[[#This Row],[Lab Price 3]]/RawMaterials[[#This Row],[Lab Q Model Units 3]]</f>
        <v>#N/A</v>
      </c>
      <c r="AE332" s="367" t="e">
        <f>RawMaterials[[#This Row],[Lab Price 4]]/RawMaterials[[#This Row],[Lab Q Model Units 4]]</f>
        <v>#N/A</v>
      </c>
      <c r="AF332" s="367" t="str">
        <f ca="1">IF(RawMaterials[[#This Row],[Lab Quote Count]]&gt;1,SLOPE(LOG(INDIRECT("RawMaterials[@[Lab Unit P 1]:[Lab Unit P "&amp;RawMaterials[[#This Row],[Lab Quote Count]]&amp;"]]")),LOG(INDIRECT("RawMaterials[@[Lab Q Model Units 1]:[Lab Q Model Units "&amp;RawMaterials[[#This Row],[Lab Quote Count]]&amp;"]]"))),"")</f>
        <v/>
      </c>
      <c r="AG332" s="367" t="str">
        <f ca="1">IF(RawMaterials[[#This Row],[Lab Quote Count]]&gt;1,INTERCEPT(LOG(INDIRECT("RawMaterials[@[Lab Unit P 1]:[Lab Unit P "&amp;RawMaterials[[#This Row],[Lab Quote Count]]&amp;"]]")),LOG(INDIRECT("RawMaterials[@[Lab Q Model Units 1]:[Lab Q Model Units "&amp;RawMaterials[[#This Row],[Lab Quote Count]]&amp;"]]"))),"")</f>
        <v/>
      </c>
      <c r="AH332" s="368" t="str">
        <f>IF(RawMaterials[[#This Row],[Material Type]]="Metal Precursor","D13",IF(RawMaterials[[#This Row],[Material Type]]="Ligand","D13","D12"))</f>
        <v>D12</v>
      </c>
      <c r="AI332" s="369" t="str">
        <f ca="1">IF(RawMaterials[[#This Row],[Lab Quote Count]]&gt;1,10^RawMaterials[[#This Row],[Lab Log-Log Intercept]]*INDIRECT(RawMaterials[[#This Row],[Basis Cell]])^RawMaterials[[#This Row],[Lab Log-Log Slope]],"&gt;&gt;&gt; Enter 2 or more lab quotes &lt;&lt;&lt;")</f>
        <v>&gt;&gt;&gt; Enter 2 or more lab quotes &lt;&lt;&lt;</v>
      </c>
      <c r="AJ3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2" s="372">
        <f>IF(ISTEXT(RawMaterials[[#This Row],[Unit price in quote year]]),"Check calcs",RawMaterials[[#This Row],[Unit price in quote year]]/VLOOKUP(RawMaterials[[#This Row],[Quote Year]],ChemPPI[],14,FALSE)*VLOOKUP(BasisYear,ChemPPI[],14,FALSE))</f>
        <v>1.187563516260163</v>
      </c>
      <c r="AM332" s="373" t="str">
        <f t="shared" si="4"/>
        <v>$/lb (2016)</v>
      </c>
    </row>
    <row r="333" spans="1:39">
      <c r="A333" s="263" t="s">
        <v>1434</v>
      </c>
      <c r="B333" s="264"/>
      <c r="C333" s="271"/>
      <c r="D333" s="365"/>
      <c r="E333" s="264">
        <v>100</v>
      </c>
      <c r="F333" s="264"/>
      <c r="G333" s="271"/>
      <c r="H333" s="271"/>
      <c r="I333" s="268"/>
      <c r="J333" s="271"/>
      <c r="K333" s="271"/>
      <c r="L333" s="271"/>
      <c r="M333" s="271"/>
      <c r="N333" s="271"/>
      <c r="O333" s="271"/>
      <c r="P333" s="265">
        <v>0.77500000000000002</v>
      </c>
      <c r="Q333" s="264">
        <v>1</v>
      </c>
      <c r="R333" s="264" t="s">
        <v>20</v>
      </c>
      <c r="S333" s="264">
        <v>2006</v>
      </c>
      <c r="T333" s="266" t="s">
        <v>163</v>
      </c>
      <c r="U333" s="267">
        <v>42653</v>
      </c>
      <c r="V333" s="269"/>
      <c r="W333" s="366">
        <f>COUNT(RawMaterials[[#This Row],[Lab Quantity 1]:[Lab Quantity 4]])</f>
        <v>0</v>
      </c>
      <c r="X3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3" s="367" t="e">
        <f>RawMaterials[[#This Row],[Lab Price 1]]/RawMaterials[[#This Row],[Lab Q Model Units 1]]</f>
        <v>#N/A</v>
      </c>
      <c r="AC333" s="367" t="e">
        <f>RawMaterials[[#This Row],[Lab Price 2]]/RawMaterials[[#This Row],[Lab Q Model Units 2]]</f>
        <v>#N/A</v>
      </c>
      <c r="AD333" s="367" t="e">
        <f>RawMaterials[[#This Row],[Lab Price 3]]/RawMaterials[[#This Row],[Lab Q Model Units 3]]</f>
        <v>#N/A</v>
      </c>
      <c r="AE333" s="367" t="e">
        <f>RawMaterials[[#This Row],[Lab Price 4]]/RawMaterials[[#This Row],[Lab Q Model Units 4]]</f>
        <v>#N/A</v>
      </c>
      <c r="AF333" s="367" t="str">
        <f ca="1">IF(RawMaterials[[#This Row],[Lab Quote Count]]&gt;1,SLOPE(LOG(INDIRECT("RawMaterials[@[Lab Unit P 1]:[Lab Unit P "&amp;RawMaterials[[#This Row],[Lab Quote Count]]&amp;"]]")),LOG(INDIRECT("RawMaterials[@[Lab Q Model Units 1]:[Lab Q Model Units "&amp;RawMaterials[[#This Row],[Lab Quote Count]]&amp;"]]"))),"")</f>
        <v/>
      </c>
      <c r="AG333" s="367" t="str">
        <f ca="1">IF(RawMaterials[[#This Row],[Lab Quote Count]]&gt;1,INTERCEPT(LOG(INDIRECT("RawMaterials[@[Lab Unit P 1]:[Lab Unit P "&amp;RawMaterials[[#This Row],[Lab Quote Count]]&amp;"]]")),LOG(INDIRECT("RawMaterials[@[Lab Q Model Units 1]:[Lab Q Model Units "&amp;RawMaterials[[#This Row],[Lab Quote Count]]&amp;"]]"))),"")</f>
        <v/>
      </c>
      <c r="AH333" s="368" t="str">
        <f>IF(RawMaterials[[#This Row],[Material Type]]="Metal Precursor","D13",IF(RawMaterials[[#This Row],[Material Type]]="Ligand","D13","D12"))</f>
        <v>D12</v>
      </c>
      <c r="AI333" s="369" t="str">
        <f ca="1">IF(RawMaterials[[#This Row],[Lab Quote Count]]&gt;1,10^RawMaterials[[#This Row],[Lab Log-Log Intercept]]*INDIRECT(RawMaterials[[#This Row],[Basis Cell]])^RawMaterials[[#This Row],[Lab Log-Log Slope]],"&gt;&gt;&gt; Enter 2 or more lab quotes &lt;&lt;&lt;")</f>
        <v>&gt;&gt;&gt; Enter 2 or more lab quotes &lt;&lt;&lt;</v>
      </c>
      <c r="AJ3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333" s="372">
        <f>IF(ISTEXT(RawMaterials[[#This Row],[Unit price in quote year]]),"Check calcs",RawMaterials[[#This Row],[Unit price in quote year]]/VLOOKUP(RawMaterials[[#This Row],[Quote Year]],ChemPPI[],14,FALSE)*VLOOKUP(BasisYear,ChemPPI[],14,FALSE))</f>
        <v>1.0518419715447156</v>
      </c>
      <c r="AM333" s="373" t="str">
        <f t="shared" si="4"/>
        <v>$/lb (2016)</v>
      </c>
    </row>
    <row r="334" spans="1:39">
      <c r="A334" s="263" t="s">
        <v>1435</v>
      </c>
      <c r="B334" s="264"/>
      <c r="C334" s="271"/>
      <c r="D334" s="365">
        <v>0.74</v>
      </c>
      <c r="E334" s="264">
        <v>100</v>
      </c>
      <c r="F334" s="264"/>
      <c r="G334" s="271"/>
      <c r="H334" s="271"/>
      <c r="I334" s="268"/>
      <c r="J334" s="271"/>
      <c r="K334" s="271"/>
      <c r="L334" s="271"/>
      <c r="M334" s="271"/>
      <c r="N334" s="271"/>
      <c r="O334" s="271"/>
      <c r="P334" s="265">
        <v>3.11</v>
      </c>
      <c r="Q334" s="264">
        <v>1</v>
      </c>
      <c r="R334" s="264" t="s">
        <v>85</v>
      </c>
      <c r="S334" s="264">
        <v>2008</v>
      </c>
      <c r="T334" s="266" t="s">
        <v>163</v>
      </c>
      <c r="U334" s="267">
        <v>42653</v>
      </c>
      <c r="V334" s="269"/>
      <c r="W334" s="366">
        <f>COUNT(RawMaterials[[#This Row],[Lab Quantity 1]:[Lab Quantity 4]])</f>
        <v>0</v>
      </c>
      <c r="X3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4" s="367" t="e">
        <f>RawMaterials[[#This Row],[Lab Price 1]]/RawMaterials[[#This Row],[Lab Q Model Units 1]]</f>
        <v>#N/A</v>
      </c>
      <c r="AC334" s="367" t="e">
        <f>RawMaterials[[#This Row],[Lab Price 2]]/RawMaterials[[#This Row],[Lab Q Model Units 2]]</f>
        <v>#N/A</v>
      </c>
      <c r="AD334" s="367" t="e">
        <f>RawMaterials[[#This Row],[Lab Price 3]]/RawMaterials[[#This Row],[Lab Q Model Units 3]]</f>
        <v>#N/A</v>
      </c>
      <c r="AE334" s="367" t="e">
        <f>RawMaterials[[#This Row],[Lab Price 4]]/RawMaterials[[#This Row],[Lab Q Model Units 4]]</f>
        <v>#N/A</v>
      </c>
      <c r="AF334" s="367" t="str">
        <f ca="1">IF(RawMaterials[[#This Row],[Lab Quote Count]]&gt;1,SLOPE(LOG(INDIRECT("RawMaterials[@[Lab Unit P 1]:[Lab Unit P "&amp;RawMaterials[[#This Row],[Lab Quote Count]]&amp;"]]")),LOG(INDIRECT("RawMaterials[@[Lab Q Model Units 1]:[Lab Q Model Units "&amp;RawMaterials[[#This Row],[Lab Quote Count]]&amp;"]]"))),"")</f>
        <v/>
      </c>
      <c r="AG334" s="367" t="str">
        <f ca="1">IF(RawMaterials[[#This Row],[Lab Quote Count]]&gt;1,INTERCEPT(LOG(INDIRECT("RawMaterials[@[Lab Unit P 1]:[Lab Unit P "&amp;RawMaterials[[#This Row],[Lab Quote Count]]&amp;"]]")),LOG(INDIRECT("RawMaterials[@[Lab Q Model Units 1]:[Lab Q Model Units "&amp;RawMaterials[[#This Row],[Lab Quote Count]]&amp;"]]"))),"")</f>
        <v/>
      </c>
      <c r="AH334" s="368" t="str">
        <f>IF(RawMaterials[[#This Row],[Material Type]]="Metal Precursor","D13",IF(RawMaterials[[#This Row],[Material Type]]="Ligand","D13","D12"))</f>
        <v>D12</v>
      </c>
      <c r="AI334" s="369" t="str">
        <f ca="1">IF(RawMaterials[[#This Row],[Lab Quote Count]]&gt;1,10^RawMaterials[[#This Row],[Lab Log-Log Intercept]]*INDIRECT(RawMaterials[[#This Row],[Basis Cell]])^RawMaterials[[#This Row],[Lab Log-Log Slope]],"&gt;&gt;&gt; Enter 2 or more lab quotes &lt;&lt;&lt;")</f>
        <v>&gt;&gt;&gt; Enter 2 or more lab quotes &lt;&lt;&lt;</v>
      </c>
      <c r="AJ3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6.1755992944943046</v>
      </c>
      <c r="AK3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0.50359484993993053</v>
      </c>
      <c r="AL334" s="372">
        <f>IF(ISTEXT(RawMaterials[[#This Row],[Unit price in quote year]]),"Check calcs",RawMaterials[[#This Row],[Unit price in quote year]]/VLOOKUP(RawMaterials[[#This Row],[Quote Year]],ChemPPI[],14,FALSE)*VLOOKUP(BasisYear,ChemPPI[],14,FALSE))</f>
        <v>0.58941837247670814</v>
      </c>
      <c r="AM334" s="373" t="str">
        <f t="shared" si="4"/>
        <v>$/lb (2016)</v>
      </c>
    </row>
    <row r="335" spans="1:39">
      <c r="A335" s="263" t="s">
        <v>1436</v>
      </c>
      <c r="B335" s="264"/>
      <c r="C335" s="271"/>
      <c r="D335" s="365"/>
      <c r="E335" s="264">
        <v>100</v>
      </c>
      <c r="F335" s="264"/>
      <c r="G335" s="271"/>
      <c r="H335" s="271"/>
      <c r="I335" s="268"/>
      <c r="J335" s="271"/>
      <c r="K335" s="271"/>
      <c r="L335" s="271"/>
      <c r="M335" s="271"/>
      <c r="N335" s="271"/>
      <c r="O335" s="271"/>
      <c r="P335" s="265">
        <v>0.48125000000000001</v>
      </c>
      <c r="Q335" s="264">
        <v>1</v>
      </c>
      <c r="R335" s="264" t="s">
        <v>20</v>
      </c>
      <c r="S335" s="264">
        <v>2007</v>
      </c>
      <c r="T335" s="266" t="s">
        <v>163</v>
      </c>
      <c r="U335" s="267">
        <v>42653</v>
      </c>
      <c r="V335" s="269"/>
      <c r="W335" s="366">
        <f>COUNT(RawMaterials[[#This Row],[Lab Quantity 1]:[Lab Quantity 4]])</f>
        <v>0</v>
      </c>
      <c r="X3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5" s="367" t="e">
        <f>RawMaterials[[#This Row],[Lab Price 1]]/RawMaterials[[#This Row],[Lab Q Model Units 1]]</f>
        <v>#N/A</v>
      </c>
      <c r="AC335" s="367" t="e">
        <f>RawMaterials[[#This Row],[Lab Price 2]]/RawMaterials[[#This Row],[Lab Q Model Units 2]]</f>
        <v>#N/A</v>
      </c>
      <c r="AD335" s="367" t="e">
        <f>RawMaterials[[#This Row],[Lab Price 3]]/RawMaterials[[#This Row],[Lab Q Model Units 3]]</f>
        <v>#N/A</v>
      </c>
      <c r="AE335" s="367" t="e">
        <f>RawMaterials[[#This Row],[Lab Price 4]]/RawMaterials[[#This Row],[Lab Q Model Units 4]]</f>
        <v>#N/A</v>
      </c>
      <c r="AF335" s="367" t="str">
        <f ca="1">IF(RawMaterials[[#This Row],[Lab Quote Count]]&gt;1,SLOPE(LOG(INDIRECT("RawMaterials[@[Lab Unit P 1]:[Lab Unit P "&amp;RawMaterials[[#This Row],[Lab Quote Count]]&amp;"]]")),LOG(INDIRECT("RawMaterials[@[Lab Q Model Units 1]:[Lab Q Model Units "&amp;RawMaterials[[#This Row],[Lab Quote Count]]&amp;"]]"))),"")</f>
        <v/>
      </c>
      <c r="AG335" s="367" t="str">
        <f ca="1">IF(RawMaterials[[#This Row],[Lab Quote Count]]&gt;1,INTERCEPT(LOG(INDIRECT("RawMaterials[@[Lab Unit P 1]:[Lab Unit P "&amp;RawMaterials[[#This Row],[Lab Quote Count]]&amp;"]]")),LOG(INDIRECT("RawMaterials[@[Lab Q Model Units 1]:[Lab Q Model Units "&amp;RawMaterials[[#This Row],[Lab Quote Count]]&amp;"]]"))),"")</f>
        <v/>
      </c>
      <c r="AH335" s="368" t="str">
        <f>IF(RawMaterials[[#This Row],[Material Type]]="Metal Precursor","D13",IF(RawMaterials[[#This Row],[Material Type]]="Ligand","D13","D12"))</f>
        <v>D12</v>
      </c>
      <c r="AI335" s="369" t="str">
        <f ca="1">IF(RawMaterials[[#This Row],[Lab Quote Count]]&gt;1,10^RawMaterials[[#This Row],[Lab Log-Log Intercept]]*INDIRECT(RawMaterials[[#This Row],[Basis Cell]])^RawMaterials[[#This Row],[Lab Log-Log Slope]],"&gt;&gt;&gt; Enter 2 or more lab quotes &lt;&lt;&lt;")</f>
        <v>&gt;&gt;&gt; Enter 2 or more lab quotes &lt;&lt;&lt;</v>
      </c>
      <c r="AJ3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0.48125000000000001</v>
      </c>
      <c r="AL335" s="372">
        <f>IF(ISTEXT(RawMaterials[[#This Row],[Unit price in quote year]]),"Check calcs",RawMaterials[[#This Row],[Unit price in quote year]]/VLOOKUP(RawMaterials[[#This Row],[Quote Year]],ChemPPI[],14,FALSE)*VLOOKUP(BasisYear,ChemPPI[],14,FALSE))</f>
        <v>0.63214724806360401</v>
      </c>
      <c r="AM335" s="373" t="str">
        <f t="shared" si="4"/>
        <v>$/lb (2016)</v>
      </c>
    </row>
    <row r="336" spans="1:39">
      <c r="A336" s="263" t="s">
        <v>1437</v>
      </c>
      <c r="B336" s="264"/>
      <c r="C336" s="271"/>
      <c r="D336" s="365"/>
      <c r="E336" s="264">
        <v>100</v>
      </c>
      <c r="F336" s="264"/>
      <c r="G336" s="271"/>
      <c r="H336" s="271"/>
      <c r="I336" s="268"/>
      <c r="J336" s="271"/>
      <c r="K336" s="271"/>
      <c r="L336" s="271"/>
      <c r="M336" s="271"/>
      <c r="N336" s="271"/>
      <c r="O336" s="271"/>
      <c r="P336" s="265">
        <v>0.67500000000000004</v>
      </c>
      <c r="Q336" s="264">
        <v>1</v>
      </c>
      <c r="R336" s="264" t="s">
        <v>20</v>
      </c>
      <c r="S336" s="264">
        <v>2006</v>
      </c>
      <c r="T336" s="266" t="s">
        <v>163</v>
      </c>
      <c r="U336" s="267">
        <v>42653</v>
      </c>
      <c r="V336" s="269"/>
      <c r="W336" s="366">
        <f>COUNT(RawMaterials[[#This Row],[Lab Quantity 1]:[Lab Quantity 4]])</f>
        <v>0</v>
      </c>
      <c r="X3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6" s="367" t="e">
        <f>RawMaterials[[#This Row],[Lab Price 1]]/RawMaterials[[#This Row],[Lab Q Model Units 1]]</f>
        <v>#N/A</v>
      </c>
      <c r="AC336" s="367" t="e">
        <f>RawMaterials[[#This Row],[Lab Price 2]]/RawMaterials[[#This Row],[Lab Q Model Units 2]]</f>
        <v>#N/A</v>
      </c>
      <c r="AD336" s="367" t="e">
        <f>RawMaterials[[#This Row],[Lab Price 3]]/RawMaterials[[#This Row],[Lab Q Model Units 3]]</f>
        <v>#N/A</v>
      </c>
      <c r="AE336" s="367" t="e">
        <f>RawMaterials[[#This Row],[Lab Price 4]]/RawMaterials[[#This Row],[Lab Q Model Units 4]]</f>
        <v>#N/A</v>
      </c>
      <c r="AF336" s="367" t="str">
        <f ca="1">IF(RawMaterials[[#This Row],[Lab Quote Count]]&gt;1,SLOPE(LOG(INDIRECT("RawMaterials[@[Lab Unit P 1]:[Lab Unit P "&amp;RawMaterials[[#This Row],[Lab Quote Count]]&amp;"]]")),LOG(INDIRECT("RawMaterials[@[Lab Q Model Units 1]:[Lab Q Model Units "&amp;RawMaterials[[#This Row],[Lab Quote Count]]&amp;"]]"))),"")</f>
        <v/>
      </c>
      <c r="AG336" s="367" t="str">
        <f ca="1">IF(RawMaterials[[#This Row],[Lab Quote Count]]&gt;1,INTERCEPT(LOG(INDIRECT("RawMaterials[@[Lab Unit P 1]:[Lab Unit P "&amp;RawMaterials[[#This Row],[Lab Quote Count]]&amp;"]]")),LOG(INDIRECT("RawMaterials[@[Lab Q Model Units 1]:[Lab Q Model Units "&amp;RawMaterials[[#This Row],[Lab Quote Count]]&amp;"]]"))),"")</f>
        <v/>
      </c>
      <c r="AH336" s="368" t="str">
        <f>IF(RawMaterials[[#This Row],[Material Type]]="Metal Precursor","D13",IF(RawMaterials[[#This Row],[Material Type]]="Ligand","D13","D12"))</f>
        <v>D12</v>
      </c>
      <c r="AI336" s="369" t="str">
        <f ca="1">IF(RawMaterials[[#This Row],[Lab Quote Count]]&gt;1,10^RawMaterials[[#This Row],[Lab Log-Log Intercept]]*INDIRECT(RawMaterials[[#This Row],[Basis Cell]])^RawMaterials[[#This Row],[Lab Log-Log Slope]],"&gt;&gt;&gt; Enter 2 or more lab quotes &lt;&lt;&lt;")</f>
        <v>&gt;&gt;&gt; Enter 2 or more lab quotes &lt;&lt;&lt;</v>
      </c>
      <c r="AJ3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36" s="372">
        <f>IF(ISTEXT(RawMaterials[[#This Row],[Unit price in quote year]]),"Check calcs",RawMaterials[[#This Row],[Unit price in quote year]]/VLOOKUP(RawMaterials[[#This Row],[Quote Year]],ChemPPI[],14,FALSE)*VLOOKUP(BasisYear,ChemPPI[],14,FALSE))</f>
        <v>0.91612042682926853</v>
      </c>
      <c r="AM336" s="373" t="str">
        <f t="shared" ref="AM336:AM399" si="5">CurrencySymbol&amp;"/"&amp;OutMassUnit&amp;" ("&amp;BasisYear&amp;")"</f>
        <v>$/lb (2016)</v>
      </c>
    </row>
    <row r="337" spans="1:39">
      <c r="A337" s="263" t="s">
        <v>1438</v>
      </c>
      <c r="B337" s="264"/>
      <c r="C337" s="271"/>
      <c r="D337" s="365"/>
      <c r="E337" s="264">
        <v>100</v>
      </c>
      <c r="F337" s="264"/>
      <c r="G337" s="271"/>
      <c r="H337" s="271"/>
      <c r="I337" s="268"/>
      <c r="J337" s="271"/>
      <c r="K337" s="271"/>
      <c r="L337" s="271"/>
      <c r="M337" s="271"/>
      <c r="N337" s="271"/>
      <c r="O337" s="271"/>
      <c r="P337" s="265">
        <v>0.875</v>
      </c>
      <c r="Q337" s="264">
        <v>1</v>
      </c>
      <c r="R337" s="264" t="s">
        <v>20</v>
      </c>
      <c r="S337" s="264">
        <v>2006</v>
      </c>
      <c r="T337" s="266" t="s">
        <v>163</v>
      </c>
      <c r="U337" s="267">
        <v>42653</v>
      </c>
      <c r="V337" s="269"/>
      <c r="W337" s="366">
        <f>COUNT(RawMaterials[[#This Row],[Lab Quantity 1]:[Lab Quantity 4]])</f>
        <v>0</v>
      </c>
      <c r="X3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7" s="367" t="e">
        <f>RawMaterials[[#This Row],[Lab Price 1]]/RawMaterials[[#This Row],[Lab Q Model Units 1]]</f>
        <v>#N/A</v>
      </c>
      <c r="AC337" s="367" t="e">
        <f>RawMaterials[[#This Row],[Lab Price 2]]/RawMaterials[[#This Row],[Lab Q Model Units 2]]</f>
        <v>#N/A</v>
      </c>
      <c r="AD337" s="367" t="e">
        <f>RawMaterials[[#This Row],[Lab Price 3]]/RawMaterials[[#This Row],[Lab Q Model Units 3]]</f>
        <v>#N/A</v>
      </c>
      <c r="AE337" s="367" t="e">
        <f>RawMaterials[[#This Row],[Lab Price 4]]/RawMaterials[[#This Row],[Lab Q Model Units 4]]</f>
        <v>#N/A</v>
      </c>
      <c r="AF337" s="367" t="str">
        <f ca="1">IF(RawMaterials[[#This Row],[Lab Quote Count]]&gt;1,SLOPE(LOG(INDIRECT("RawMaterials[@[Lab Unit P 1]:[Lab Unit P "&amp;RawMaterials[[#This Row],[Lab Quote Count]]&amp;"]]")),LOG(INDIRECT("RawMaterials[@[Lab Q Model Units 1]:[Lab Q Model Units "&amp;RawMaterials[[#This Row],[Lab Quote Count]]&amp;"]]"))),"")</f>
        <v/>
      </c>
      <c r="AG337" s="367" t="str">
        <f ca="1">IF(RawMaterials[[#This Row],[Lab Quote Count]]&gt;1,INTERCEPT(LOG(INDIRECT("RawMaterials[@[Lab Unit P 1]:[Lab Unit P "&amp;RawMaterials[[#This Row],[Lab Quote Count]]&amp;"]]")),LOG(INDIRECT("RawMaterials[@[Lab Q Model Units 1]:[Lab Q Model Units "&amp;RawMaterials[[#This Row],[Lab Quote Count]]&amp;"]]"))),"")</f>
        <v/>
      </c>
      <c r="AH337" s="368" t="str">
        <f>IF(RawMaterials[[#This Row],[Material Type]]="Metal Precursor","D13",IF(RawMaterials[[#This Row],[Material Type]]="Ligand","D13","D12"))</f>
        <v>D12</v>
      </c>
      <c r="AI337" s="369" t="str">
        <f ca="1">IF(RawMaterials[[#This Row],[Lab Quote Count]]&gt;1,10^RawMaterials[[#This Row],[Lab Log-Log Intercept]]*INDIRECT(RawMaterials[[#This Row],[Basis Cell]])^RawMaterials[[#This Row],[Lab Log-Log Slope]],"&gt;&gt;&gt; Enter 2 or more lab quotes &lt;&lt;&lt;")</f>
        <v>&gt;&gt;&gt; Enter 2 or more lab quotes &lt;&lt;&lt;</v>
      </c>
      <c r="AJ3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337" s="372">
        <f>IF(ISTEXT(RawMaterials[[#This Row],[Unit price in quote year]]),"Check calcs",RawMaterials[[#This Row],[Unit price in quote year]]/VLOOKUP(RawMaterials[[#This Row],[Quote Year]],ChemPPI[],14,FALSE)*VLOOKUP(BasisYear,ChemPPI[],14,FALSE))</f>
        <v>1.187563516260163</v>
      </c>
      <c r="AM337" s="373" t="str">
        <f t="shared" si="5"/>
        <v>$/lb (2016)</v>
      </c>
    </row>
    <row r="338" spans="1:39">
      <c r="A338" s="263" t="s">
        <v>1439</v>
      </c>
      <c r="B338" s="264"/>
      <c r="C338" s="271"/>
      <c r="D338" s="365"/>
      <c r="E338" s="264">
        <v>100</v>
      </c>
      <c r="F338" s="264"/>
      <c r="G338" s="271"/>
      <c r="H338" s="271"/>
      <c r="I338" s="268"/>
      <c r="J338" s="271"/>
      <c r="K338" s="271"/>
      <c r="L338" s="271"/>
      <c r="M338" s="271"/>
      <c r="N338" s="271"/>
      <c r="O338" s="271"/>
      <c r="P338" s="265">
        <v>0.83499999999999996</v>
      </c>
      <c r="Q338" s="264">
        <v>1</v>
      </c>
      <c r="R338" s="264" t="s">
        <v>20</v>
      </c>
      <c r="S338" s="264">
        <v>2006</v>
      </c>
      <c r="T338" s="266" t="s">
        <v>163</v>
      </c>
      <c r="U338" s="267">
        <v>42653</v>
      </c>
      <c r="V338" s="269"/>
      <c r="W338" s="366">
        <f>COUNT(RawMaterials[[#This Row],[Lab Quantity 1]:[Lab Quantity 4]])</f>
        <v>0</v>
      </c>
      <c r="X3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8" s="367" t="e">
        <f>RawMaterials[[#This Row],[Lab Price 1]]/RawMaterials[[#This Row],[Lab Q Model Units 1]]</f>
        <v>#N/A</v>
      </c>
      <c r="AC338" s="367" t="e">
        <f>RawMaterials[[#This Row],[Lab Price 2]]/RawMaterials[[#This Row],[Lab Q Model Units 2]]</f>
        <v>#N/A</v>
      </c>
      <c r="AD338" s="367" t="e">
        <f>RawMaterials[[#This Row],[Lab Price 3]]/RawMaterials[[#This Row],[Lab Q Model Units 3]]</f>
        <v>#N/A</v>
      </c>
      <c r="AE338" s="367" t="e">
        <f>RawMaterials[[#This Row],[Lab Price 4]]/RawMaterials[[#This Row],[Lab Q Model Units 4]]</f>
        <v>#N/A</v>
      </c>
      <c r="AF338" s="367" t="str">
        <f ca="1">IF(RawMaterials[[#This Row],[Lab Quote Count]]&gt;1,SLOPE(LOG(INDIRECT("RawMaterials[@[Lab Unit P 1]:[Lab Unit P "&amp;RawMaterials[[#This Row],[Lab Quote Count]]&amp;"]]")),LOG(INDIRECT("RawMaterials[@[Lab Q Model Units 1]:[Lab Q Model Units "&amp;RawMaterials[[#This Row],[Lab Quote Count]]&amp;"]]"))),"")</f>
        <v/>
      </c>
      <c r="AG338" s="367" t="str">
        <f ca="1">IF(RawMaterials[[#This Row],[Lab Quote Count]]&gt;1,INTERCEPT(LOG(INDIRECT("RawMaterials[@[Lab Unit P 1]:[Lab Unit P "&amp;RawMaterials[[#This Row],[Lab Quote Count]]&amp;"]]")),LOG(INDIRECT("RawMaterials[@[Lab Q Model Units 1]:[Lab Q Model Units "&amp;RawMaterials[[#This Row],[Lab Quote Count]]&amp;"]]"))),"")</f>
        <v/>
      </c>
      <c r="AH338" s="368" t="str">
        <f>IF(RawMaterials[[#This Row],[Material Type]]="Metal Precursor","D13",IF(RawMaterials[[#This Row],[Material Type]]="Ligand","D13","D12"))</f>
        <v>D12</v>
      </c>
      <c r="AI338" s="369" t="str">
        <f ca="1">IF(RawMaterials[[#This Row],[Lab Quote Count]]&gt;1,10^RawMaterials[[#This Row],[Lab Log-Log Intercept]]*INDIRECT(RawMaterials[[#This Row],[Basis Cell]])^RawMaterials[[#This Row],[Lab Log-Log Slope]],"&gt;&gt;&gt; Enter 2 or more lab quotes &lt;&lt;&lt;")</f>
        <v>&gt;&gt;&gt; Enter 2 or more lab quotes &lt;&lt;&lt;</v>
      </c>
      <c r="AJ3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338" s="372">
        <f>IF(ISTEXT(RawMaterials[[#This Row],[Unit price in quote year]]),"Check calcs",RawMaterials[[#This Row],[Unit price in quote year]]/VLOOKUP(RawMaterials[[#This Row],[Quote Year]],ChemPPI[],14,FALSE)*VLOOKUP(BasisYear,ChemPPI[],14,FALSE))</f>
        <v>1.1332748983739838</v>
      </c>
      <c r="AM338" s="373" t="str">
        <f t="shared" si="5"/>
        <v>$/lb (2016)</v>
      </c>
    </row>
    <row r="339" spans="1:39">
      <c r="A339" s="263" t="s">
        <v>1440</v>
      </c>
      <c r="B339" s="264"/>
      <c r="C339" s="271"/>
      <c r="D339" s="365"/>
      <c r="E339" s="264">
        <v>100</v>
      </c>
      <c r="F339" s="264"/>
      <c r="G339" s="271"/>
      <c r="H339" s="271"/>
      <c r="I339" s="268"/>
      <c r="J339" s="271"/>
      <c r="K339" s="271"/>
      <c r="L339" s="271"/>
      <c r="M339" s="271"/>
      <c r="N339" s="271"/>
      <c r="O339" s="271"/>
      <c r="P339" s="265">
        <v>0.56999999999999995</v>
      </c>
      <c r="Q339" s="264">
        <v>1</v>
      </c>
      <c r="R339" s="264" t="s">
        <v>20</v>
      </c>
      <c r="S339" s="264">
        <v>2006</v>
      </c>
      <c r="T339" s="266" t="s">
        <v>163</v>
      </c>
      <c r="U339" s="267">
        <v>42653</v>
      </c>
      <c r="V339" s="269"/>
      <c r="W339" s="366">
        <f>COUNT(RawMaterials[[#This Row],[Lab Quantity 1]:[Lab Quantity 4]])</f>
        <v>0</v>
      </c>
      <c r="X3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39" s="367" t="e">
        <f>RawMaterials[[#This Row],[Lab Price 1]]/RawMaterials[[#This Row],[Lab Q Model Units 1]]</f>
        <v>#N/A</v>
      </c>
      <c r="AC339" s="367" t="e">
        <f>RawMaterials[[#This Row],[Lab Price 2]]/RawMaterials[[#This Row],[Lab Q Model Units 2]]</f>
        <v>#N/A</v>
      </c>
      <c r="AD339" s="367" t="e">
        <f>RawMaterials[[#This Row],[Lab Price 3]]/RawMaterials[[#This Row],[Lab Q Model Units 3]]</f>
        <v>#N/A</v>
      </c>
      <c r="AE339" s="367" t="e">
        <f>RawMaterials[[#This Row],[Lab Price 4]]/RawMaterials[[#This Row],[Lab Q Model Units 4]]</f>
        <v>#N/A</v>
      </c>
      <c r="AF339" s="367" t="str">
        <f ca="1">IF(RawMaterials[[#This Row],[Lab Quote Count]]&gt;1,SLOPE(LOG(INDIRECT("RawMaterials[@[Lab Unit P 1]:[Lab Unit P "&amp;RawMaterials[[#This Row],[Lab Quote Count]]&amp;"]]")),LOG(INDIRECT("RawMaterials[@[Lab Q Model Units 1]:[Lab Q Model Units "&amp;RawMaterials[[#This Row],[Lab Quote Count]]&amp;"]]"))),"")</f>
        <v/>
      </c>
      <c r="AG339" s="367" t="str">
        <f ca="1">IF(RawMaterials[[#This Row],[Lab Quote Count]]&gt;1,INTERCEPT(LOG(INDIRECT("RawMaterials[@[Lab Unit P 1]:[Lab Unit P "&amp;RawMaterials[[#This Row],[Lab Quote Count]]&amp;"]]")),LOG(INDIRECT("RawMaterials[@[Lab Q Model Units 1]:[Lab Q Model Units "&amp;RawMaterials[[#This Row],[Lab Quote Count]]&amp;"]]"))),"")</f>
        <v/>
      </c>
      <c r="AH339" s="368" t="str">
        <f>IF(RawMaterials[[#This Row],[Material Type]]="Metal Precursor","D13",IF(RawMaterials[[#This Row],[Material Type]]="Ligand","D13","D12"))</f>
        <v>D12</v>
      </c>
      <c r="AI339" s="369" t="str">
        <f ca="1">IF(RawMaterials[[#This Row],[Lab Quote Count]]&gt;1,10^RawMaterials[[#This Row],[Lab Log-Log Intercept]]*INDIRECT(RawMaterials[[#This Row],[Basis Cell]])^RawMaterials[[#This Row],[Lab Log-Log Slope]],"&gt;&gt;&gt; Enter 2 or more lab quotes &lt;&lt;&lt;")</f>
        <v>&gt;&gt;&gt; Enter 2 or more lab quotes &lt;&lt;&lt;</v>
      </c>
      <c r="AJ3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0.56999999999999995</v>
      </c>
      <c r="AL339" s="372">
        <f>IF(ISTEXT(RawMaterials[[#This Row],[Unit price in quote year]]),"Check calcs",RawMaterials[[#This Row],[Unit price in quote year]]/VLOOKUP(RawMaterials[[#This Row],[Quote Year]],ChemPPI[],14,FALSE)*VLOOKUP(BasisYear,ChemPPI[],14,FALSE))</f>
        <v>0.77361280487804884</v>
      </c>
      <c r="AM339" s="373" t="str">
        <f t="shared" si="5"/>
        <v>$/lb (2016)</v>
      </c>
    </row>
    <row r="340" spans="1:39">
      <c r="A340" s="263" t="s">
        <v>1441</v>
      </c>
      <c r="B340" s="264"/>
      <c r="C340" s="271"/>
      <c r="D340" s="365"/>
      <c r="E340" s="264">
        <v>100</v>
      </c>
      <c r="F340" s="264"/>
      <c r="G340" s="271"/>
      <c r="H340" s="271"/>
      <c r="I340" s="268"/>
      <c r="J340" s="271"/>
      <c r="K340" s="271"/>
      <c r="L340" s="271"/>
      <c r="M340" s="271"/>
      <c r="N340" s="271"/>
      <c r="O340" s="271"/>
      <c r="P340" s="265">
        <v>1.9750000000000001</v>
      </c>
      <c r="Q340" s="264">
        <v>1</v>
      </c>
      <c r="R340" s="264" t="s">
        <v>20</v>
      </c>
      <c r="S340" s="264">
        <v>2006</v>
      </c>
      <c r="T340" s="266" t="s">
        <v>163</v>
      </c>
      <c r="U340" s="267">
        <v>42653</v>
      </c>
      <c r="V340" s="269"/>
      <c r="W340" s="366">
        <f>COUNT(RawMaterials[[#This Row],[Lab Quantity 1]:[Lab Quantity 4]])</f>
        <v>0</v>
      </c>
      <c r="X3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0" s="367" t="e">
        <f>RawMaterials[[#This Row],[Lab Price 1]]/RawMaterials[[#This Row],[Lab Q Model Units 1]]</f>
        <v>#N/A</v>
      </c>
      <c r="AC340" s="367" t="e">
        <f>RawMaterials[[#This Row],[Lab Price 2]]/RawMaterials[[#This Row],[Lab Q Model Units 2]]</f>
        <v>#N/A</v>
      </c>
      <c r="AD340" s="367" t="e">
        <f>RawMaterials[[#This Row],[Lab Price 3]]/RawMaterials[[#This Row],[Lab Q Model Units 3]]</f>
        <v>#N/A</v>
      </c>
      <c r="AE340" s="367" t="e">
        <f>RawMaterials[[#This Row],[Lab Price 4]]/RawMaterials[[#This Row],[Lab Q Model Units 4]]</f>
        <v>#N/A</v>
      </c>
      <c r="AF340" s="367" t="str">
        <f ca="1">IF(RawMaterials[[#This Row],[Lab Quote Count]]&gt;1,SLOPE(LOG(INDIRECT("RawMaterials[@[Lab Unit P 1]:[Lab Unit P "&amp;RawMaterials[[#This Row],[Lab Quote Count]]&amp;"]]")),LOG(INDIRECT("RawMaterials[@[Lab Q Model Units 1]:[Lab Q Model Units "&amp;RawMaterials[[#This Row],[Lab Quote Count]]&amp;"]]"))),"")</f>
        <v/>
      </c>
      <c r="AG340" s="367" t="str">
        <f ca="1">IF(RawMaterials[[#This Row],[Lab Quote Count]]&gt;1,INTERCEPT(LOG(INDIRECT("RawMaterials[@[Lab Unit P 1]:[Lab Unit P "&amp;RawMaterials[[#This Row],[Lab Quote Count]]&amp;"]]")),LOG(INDIRECT("RawMaterials[@[Lab Q Model Units 1]:[Lab Q Model Units "&amp;RawMaterials[[#This Row],[Lab Quote Count]]&amp;"]]"))),"")</f>
        <v/>
      </c>
      <c r="AH340" s="368" t="str">
        <f>IF(RawMaterials[[#This Row],[Material Type]]="Metal Precursor","D13",IF(RawMaterials[[#This Row],[Material Type]]="Ligand","D13","D12"))</f>
        <v>D12</v>
      </c>
      <c r="AI340" s="369" t="str">
        <f ca="1">IF(RawMaterials[[#This Row],[Lab Quote Count]]&gt;1,10^RawMaterials[[#This Row],[Lab Log-Log Intercept]]*INDIRECT(RawMaterials[[#This Row],[Basis Cell]])^RawMaterials[[#This Row],[Lab Log-Log Slope]],"&gt;&gt;&gt; Enter 2 or more lab quotes &lt;&lt;&lt;")</f>
        <v>&gt;&gt;&gt; Enter 2 or more lab quotes &lt;&lt;&lt;</v>
      </c>
      <c r="AJ3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1.9750000000000001</v>
      </c>
      <c r="AL340" s="372">
        <f>IF(ISTEXT(RawMaterials[[#This Row],[Unit price in quote year]]),"Check calcs",RawMaterials[[#This Row],[Unit price in quote year]]/VLOOKUP(RawMaterials[[#This Row],[Quote Year]],ChemPPI[],14,FALSE)*VLOOKUP(BasisYear,ChemPPI[],14,FALSE))</f>
        <v>2.6805005081300819</v>
      </c>
      <c r="AM340" s="373" t="str">
        <f t="shared" si="5"/>
        <v>$/lb (2016)</v>
      </c>
    </row>
    <row r="341" spans="1:39">
      <c r="A341" s="263" t="s">
        <v>1442</v>
      </c>
      <c r="B341" s="264"/>
      <c r="C341" s="271"/>
      <c r="D341" s="365"/>
      <c r="E341" s="264">
        <v>100</v>
      </c>
      <c r="F341" s="264"/>
      <c r="G341" s="271"/>
      <c r="H341" s="271"/>
      <c r="I341" s="268"/>
      <c r="J341" s="271"/>
      <c r="K341" s="271"/>
      <c r="L341" s="271"/>
      <c r="M341" s="271"/>
      <c r="N341" s="271"/>
      <c r="O341" s="271"/>
      <c r="P341" s="265">
        <v>1.875</v>
      </c>
      <c r="Q341" s="264">
        <v>1</v>
      </c>
      <c r="R341" s="264" t="s">
        <v>20</v>
      </c>
      <c r="S341" s="264">
        <v>2006</v>
      </c>
      <c r="T341" s="266" t="s">
        <v>163</v>
      </c>
      <c r="U341" s="267">
        <v>42653</v>
      </c>
      <c r="V341" s="269"/>
      <c r="W341" s="366">
        <f>COUNT(RawMaterials[[#This Row],[Lab Quantity 1]:[Lab Quantity 4]])</f>
        <v>0</v>
      </c>
      <c r="X3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1" s="367" t="e">
        <f>RawMaterials[[#This Row],[Lab Price 1]]/RawMaterials[[#This Row],[Lab Q Model Units 1]]</f>
        <v>#N/A</v>
      </c>
      <c r="AC341" s="367" t="e">
        <f>RawMaterials[[#This Row],[Lab Price 2]]/RawMaterials[[#This Row],[Lab Q Model Units 2]]</f>
        <v>#N/A</v>
      </c>
      <c r="AD341" s="367" t="e">
        <f>RawMaterials[[#This Row],[Lab Price 3]]/RawMaterials[[#This Row],[Lab Q Model Units 3]]</f>
        <v>#N/A</v>
      </c>
      <c r="AE341" s="367" t="e">
        <f>RawMaterials[[#This Row],[Lab Price 4]]/RawMaterials[[#This Row],[Lab Q Model Units 4]]</f>
        <v>#N/A</v>
      </c>
      <c r="AF341" s="367" t="str">
        <f ca="1">IF(RawMaterials[[#This Row],[Lab Quote Count]]&gt;1,SLOPE(LOG(INDIRECT("RawMaterials[@[Lab Unit P 1]:[Lab Unit P "&amp;RawMaterials[[#This Row],[Lab Quote Count]]&amp;"]]")),LOG(INDIRECT("RawMaterials[@[Lab Q Model Units 1]:[Lab Q Model Units "&amp;RawMaterials[[#This Row],[Lab Quote Count]]&amp;"]]"))),"")</f>
        <v/>
      </c>
      <c r="AG341" s="367" t="str">
        <f ca="1">IF(RawMaterials[[#This Row],[Lab Quote Count]]&gt;1,INTERCEPT(LOG(INDIRECT("RawMaterials[@[Lab Unit P 1]:[Lab Unit P "&amp;RawMaterials[[#This Row],[Lab Quote Count]]&amp;"]]")),LOG(INDIRECT("RawMaterials[@[Lab Q Model Units 1]:[Lab Q Model Units "&amp;RawMaterials[[#This Row],[Lab Quote Count]]&amp;"]]"))),"")</f>
        <v/>
      </c>
      <c r="AH341" s="368" t="str">
        <f>IF(RawMaterials[[#This Row],[Material Type]]="Metal Precursor","D13",IF(RawMaterials[[#This Row],[Material Type]]="Ligand","D13","D12"))</f>
        <v>D12</v>
      </c>
      <c r="AI341" s="369" t="str">
        <f ca="1">IF(RawMaterials[[#This Row],[Lab Quote Count]]&gt;1,10^RawMaterials[[#This Row],[Lab Log-Log Intercept]]*INDIRECT(RawMaterials[[#This Row],[Basis Cell]])^RawMaterials[[#This Row],[Lab Log-Log Slope]],"&gt;&gt;&gt; Enter 2 or more lab quotes &lt;&lt;&lt;")</f>
        <v>&gt;&gt;&gt; Enter 2 or more lab quotes &lt;&lt;&lt;</v>
      </c>
      <c r="AJ3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1.875</v>
      </c>
      <c r="AL341" s="372">
        <f>IF(ISTEXT(RawMaterials[[#This Row],[Unit price in quote year]]),"Check calcs",RawMaterials[[#This Row],[Unit price in quote year]]/VLOOKUP(RawMaterials[[#This Row],[Quote Year]],ChemPPI[],14,FALSE)*VLOOKUP(BasisYear,ChemPPI[],14,FALSE))</f>
        <v>2.5447789634146347</v>
      </c>
      <c r="AM341" s="373" t="str">
        <f t="shared" si="5"/>
        <v>$/lb (2016)</v>
      </c>
    </row>
    <row r="342" spans="1:39">
      <c r="A342" s="263" t="s">
        <v>1443</v>
      </c>
      <c r="B342" s="264"/>
      <c r="C342" s="271"/>
      <c r="D342" s="365"/>
      <c r="E342" s="264">
        <v>100</v>
      </c>
      <c r="F342" s="264"/>
      <c r="G342" s="271"/>
      <c r="H342" s="271"/>
      <c r="I342" s="268"/>
      <c r="J342" s="271"/>
      <c r="K342" s="271"/>
      <c r="L342" s="271"/>
      <c r="M342" s="271"/>
      <c r="N342" s="271"/>
      <c r="O342" s="271"/>
      <c r="P342" s="265">
        <v>0.66999999999999904</v>
      </c>
      <c r="Q342" s="264">
        <v>1</v>
      </c>
      <c r="R342" s="264" t="s">
        <v>20</v>
      </c>
      <c r="S342" s="264">
        <v>2006</v>
      </c>
      <c r="T342" s="266" t="s">
        <v>163</v>
      </c>
      <c r="U342" s="267">
        <v>42653</v>
      </c>
      <c r="V342" s="269"/>
      <c r="W342" s="366">
        <f>COUNT(RawMaterials[[#This Row],[Lab Quantity 1]:[Lab Quantity 4]])</f>
        <v>0</v>
      </c>
      <c r="X3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2" s="367" t="e">
        <f>RawMaterials[[#This Row],[Lab Price 1]]/RawMaterials[[#This Row],[Lab Q Model Units 1]]</f>
        <v>#N/A</v>
      </c>
      <c r="AC342" s="367" t="e">
        <f>RawMaterials[[#This Row],[Lab Price 2]]/RawMaterials[[#This Row],[Lab Q Model Units 2]]</f>
        <v>#N/A</v>
      </c>
      <c r="AD342" s="367" t="e">
        <f>RawMaterials[[#This Row],[Lab Price 3]]/RawMaterials[[#This Row],[Lab Q Model Units 3]]</f>
        <v>#N/A</v>
      </c>
      <c r="AE342" s="367" t="e">
        <f>RawMaterials[[#This Row],[Lab Price 4]]/RawMaterials[[#This Row],[Lab Q Model Units 4]]</f>
        <v>#N/A</v>
      </c>
      <c r="AF342" s="367" t="str">
        <f ca="1">IF(RawMaterials[[#This Row],[Lab Quote Count]]&gt;1,SLOPE(LOG(INDIRECT("RawMaterials[@[Lab Unit P 1]:[Lab Unit P "&amp;RawMaterials[[#This Row],[Lab Quote Count]]&amp;"]]")),LOG(INDIRECT("RawMaterials[@[Lab Q Model Units 1]:[Lab Q Model Units "&amp;RawMaterials[[#This Row],[Lab Quote Count]]&amp;"]]"))),"")</f>
        <v/>
      </c>
      <c r="AG342" s="367" t="str">
        <f ca="1">IF(RawMaterials[[#This Row],[Lab Quote Count]]&gt;1,INTERCEPT(LOG(INDIRECT("RawMaterials[@[Lab Unit P 1]:[Lab Unit P "&amp;RawMaterials[[#This Row],[Lab Quote Count]]&amp;"]]")),LOG(INDIRECT("RawMaterials[@[Lab Q Model Units 1]:[Lab Q Model Units "&amp;RawMaterials[[#This Row],[Lab Quote Count]]&amp;"]]"))),"")</f>
        <v/>
      </c>
      <c r="AH342" s="368" t="str">
        <f>IF(RawMaterials[[#This Row],[Material Type]]="Metal Precursor","D13",IF(RawMaterials[[#This Row],[Material Type]]="Ligand","D13","D12"))</f>
        <v>D12</v>
      </c>
      <c r="AI342" s="369" t="str">
        <f ca="1">IF(RawMaterials[[#This Row],[Lab Quote Count]]&gt;1,10^RawMaterials[[#This Row],[Lab Log-Log Intercept]]*INDIRECT(RawMaterials[[#This Row],[Basis Cell]])^RawMaterials[[#This Row],[Lab Log-Log Slope]],"&gt;&gt;&gt; Enter 2 or more lab quotes &lt;&lt;&lt;")</f>
        <v>&gt;&gt;&gt; Enter 2 or more lab quotes &lt;&lt;&lt;</v>
      </c>
      <c r="AJ3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0.66999999999999904</v>
      </c>
      <c r="AL342" s="372">
        <f>IF(ISTEXT(RawMaterials[[#This Row],[Unit price in quote year]]),"Check calcs",RawMaterials[[#This Row],[Unit price in quote year]]/VLOOKUP(RawMaterials[[#This Row],[Quote Year]],ChemPPI[],14,FALSE)*VLOOKUP(BasisYear,ChemPPI[],14,FALSE))</f>
        <v>0.9093343495934948</v>
      </c>
      <c r="AM342" s="373" t="str">
        <f t="shared" si="5"/>
        <v>$/lb (2016)</v>
      </c>
    </row>
    <row r="343" spans="1:39">
      <c r="A343" s="263" t="s">
        <v>1444</v>
      </c>
      <c r="B343" s="264"/>
      <c r="C343" s="271"/>
      <c r="D343" s="365"/>
      <c r="E343" s="264">
        <v>100</v>
      </c>
      <c r="F343" s="264"/>
      <c r="G343" s="271"/>
      <c r="H343" s="271"/>
      <c r="I343" s="268"/>
      <c r="J343" s="271"/>
      <c r="K343" s="271"/>
      <c r="L343" s="271"/>
      <c r="M343" s="271"/>
      <c r="N343" s="271"/>
      <c r="O343" s="271"/>
      <c r="P343" s="265">
        <v>0.65</v>
      </c>
      <c r="Q343" s="264">
        <v>1</v>
      </c>
      <c r="R343" s="264" t="s">
        <v>20</v>
      </c>
      <c r="S343" s="264">
        <v>2006</v>
      </c>
      <c r="T343" s="266" t="s">
        <v>163</v>
      </c>
      <c r="U343" s="267">
        <v>42653</v>
      </c>
      <c r="V343" s="269"/>
      <c r="W343" s="366">
        <f>COUNT(RawMaterials[[#This Row],[Lab Quantity 1]:[Lab Quantity 4]])</f>
        <v>0</v>
      </c>
      <c r="X3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3" s="367" t="e">
        <f>RawMaterials[[#This Row],[Lab Price 1]]/RawMaterials[[#This Row],[Lab Q Model Units 1]]</f>
        <v>#N/A</v>
      </c>
      <c r="AC343" s="367" t="e">
        <f>RawMaterials[[#This Row],[Lab Price 2]]/RawMaterials[[#This Row],[Lab Q Model Units 2]]</f>
        <v>#N/A</v>
      </c>
      <c r="AD343" s="367" t="e">
        <f>RawMaterials[[#This Row],[Lab Price 3]]/RawMaterials[[#This Row],[Lab Q Model Units 3]]</f>
        <v>#N/A</v>
      </c>
      <c r="AE343" s="367" t="e">
        <f>RawMaterials[[#This Row],[Lab Price 4]]/RawMaterials[[#This Row],[Lab Q Model Units 4]]</f>
        <v>#N/A</v>
      </c>
      <c r="AF343" s="367" t="str">
        <f ca="1">IF(RawMaterials[[#This Row],[Lab Quote Count]]&gt;1,SLOPE(LOG(INDIRECT("RawMaterials[@[Lab Unit P 1]:[Lab Unit P "&amp;RawMaterials[[#This Row],[Lab Quote Count]]&amp;"]]")),LOG(INDIRECT("RawMaterials[@[Lab Q Model Units 1]:[Lab Q Model Units "&amp;RawMaterials[[#This Row],[Lab Quote Count]]&amp;"]]"))),"")</f>
        <v/>
      </c>
      <c r="AG343" s="367" t="str">
        <f ca="1">IF(RawMaterials[[#This Row],[Lab Quote Count]]&gt;1,INTERCEPT(LOG(INDIRECT("RawMaterials[@[Lab Unit P 1]:[Lab Unit P "&amp;RawMaterials[[#This Row],[Lab Quote Count]]&amp;"]]")),LOG(INDIRECT("RawMaterials[@[Lab Q Model Units 1]:[Lab Q Model Units "&amp;RawMaterials[[#This Row],[Lab Quote Count]]&amp;"]]"))),"")</f>
        <v/>
      </c>
      <c r="AH343" s="368" t="str">
        <f>IF(RawMaterials[[#This Row],[Material Type]]="Metal Precursor","D13",IF(RawMaterials[[#This Row],[Material Type]]="Ligand","D13","D12"))</f>
        <v>D12</v>
      </c>
      <c r="AI343" s="369" t="str">
        <f ca="1">IF(RawMaterials[[#This Row],[Lab Quote Count]]&gt;1,10^RawMaterials[[#This Row],[Lab Log-Log Intercept]]*INDIRECT(RawMaterials[[#This Row],[Basis Cell]])^RawMaterials[[#This Row],[Lab Log-Log Slope]],"&gt;&gt;&gt; Enter 2 or more lab quotes &lt;&lt;&lt;")</f>
        <v>&gt;&gt;&gt; Enter 2 or more lab quotes &lt;&lt;&lt;</v>
      </c>
      <c r="AJ3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v>
      </c>
      <c r="AL343" s="372">
        <f>IF(ISTEXT(RawMaterials[[#This Row],[Unit price in quote year]]),"Check calcs",RawMaterials[[#This Row],[Unit price in quote year]]/VLOOKUP(RawMaterials[[#This Row],[Quote Year]],ChemPPI[],14,FALSE)*VLOOKUP(BasisYear,ChemPPI[],14,FALSE))</f>
        <v>0.88219004065040663</v>
      </c>
      <c r="AM343" s="373" t="str">
        <f t="shared" si="5"/>
        <v>$/lb (2016)</v>
      </c>
    </row>
    <row r="344" spans="1:39">
      <c r="A344" s="263" t="s">
        <v>1445</v>
      </c>
      <c r="B344" s="264"/>
      <c r="C344" s="271"/>
      <c r="D344" s="365"/>
      <c r="E344" s="264">
        <v>100</v>
      </c>
      <c r="F344" s="264"/>
      <c r="G344" s="271"/>
      <c r="H344" s="271"/>
      <c r="I344" s="268"/>
      <c r="J344" s="271"/>
      <c r="K344" s="271"/>
      <c r="L344" s="271"/>
      <c r="M344" s="271"/>
      <c r="N344" s="271"/>
      <c r="O344" s="271"/>
      <c r="P344" s="265">
        <v>0.89</v>
      </c>
      <c r="Q344" s="264">
        <v>1</v>
      </c>
      <c r="R344" s="264" t="s">
        <v>20</v>
      </c>
      <c r="S344" s="264">
        <v>2006</v>
      </c>
      <c r="T344" s="266" t="s">
        <v>163</v>
      </c>
      <c r="U344" s="267">
        <v>42653</v>
      </c>
      <c r="V344" s="269"/>
      <c r="W344" s="366">
        <f>COUNT(RawMaterials[[#This Row],[Lab Quantity 1]:[Lab Quantity 4]])</f>
        <v>0</v>
      </c>
      <c r="X3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4" s="367" t="e">
        <f>RawMaterials[[#This Row],[Lab Price 1]]/RawMaterials[[#This Row],[Lab Q Model Units 1]]</f>
        <v>#N/A</v>
      </c>
      <c r="AC344" s="367" t="e">
        <f>RawMaterials[[#This Row],[Lab Price 2]]/RawMaterials[[#This Row],[Lab Q Model Units 2]]</f>
        <v>#N/A</v>
      </c>
      <c r="AD344" s="367" t="e">
        <f>RawMaterials[[#This Row],[Lab Price 3]]/RawMaterials[[#This Row],[Lab Q Model Units 3]]</f>
        <v>#N/A</v>
      </c>
      <c r="AE344" s="367" t="e">
        <f>RawMaterials[[#This Row],[Lab Price 4]]/RawMaterials[[#This Row],[Lab Q Model Units 4]]</f>
        <v>#N/A</v>
      </c>
      <c r="AF344" s="367" t="str">
        <f ca="1">IF(RawMaterials[[#This Row],[Lab Quote Count]]&gt;1,SLOPE(LOG(INDIRECT("RawMaterials[@[Lab Unit P 1]:[Lab Unit P "&amp;RawMaterials[[#This Row],[Lab Quote Count]]&amp;"]]")),LOG(INDIRECT("RawMaterials[@[Lab Q Model Units 1]:[Lab Q Model Units "&amp;RawMaterials[[#This Row],[Lab Quote Count]]&amp;"]]"))),"")</f>
        <v/>
      </c>
      <c r="AG344" s="367" t="str">
        <f ca="1">IF(RawMaterials[[#This Row],[Lab Quote Count]]&gt;1,INTERCEPT(LOG(INDIRECT("RawMaterials[@[Lab Unit P 1]:[Lab Unit P "&amp;RawMaterials[[#This Row],[Lab Quote Count]]&amp;"]]")),LOG(INDIRECT("RawMaterials[@[Lab Q Model Units 1]:[Lab Q Model Units "&amp;RawMaterials[[#This Row],[Lab Quote Count]]&amp;"]]"))),"")</f>
        <v/>
      </c>
      <c r="AH344" s="368" t="str">
        <f>IF(RawMaterials[[#This Row],[Material Type]]="Metal Precursor","D13",IF(RawMaterials[[#This Row],[Material Type]]="Ligand","D13","D12"))</f>
        <v>D12</v>
      </c>
      <c r="AI344" s="369" t="str">
        <f ca="1">IF(RawMaterials[[#This Row],[Lab Quote Count]]&gt;1,10^RawMaterials[[#This Row],[Lab Log-Log Intercept]]*INDIRECT(RawMaterials[[#This Row],[Basis Cell]])^RawMaterials[[#This Row],[Lab Log-Log Slope]],"&gt;&gt;&gt; Enter 2 or more lab quotes &lt;&lt;&lt;")</f>
        <v>&gt;&gt;&gt; Enter 2 or more lab quotes &lt;&lt;&lt;</v>
      </c>
      <c r="AJ3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v>
      </c>
      <c r="AL344" s="372">
        <f>IF(ISTEXT(RawMaterials[[#This Row],[Unit price in quote year]]),"Check calcs",RawMaterials[[#This Row],[Unit price in quote year]]/VLOOKUP(RawMaterials[[#This Row],[Quote Year]],ChemPPI[],14,FALSE)*VLOOKUP(BasisYear,ChemPPI[],14,FALSE))</f>
        <v>1.20792174796748</v>
      </c>
      <c r="AM344" s="373" t="str">
        <f t="shared" si="5"/>
        <v>$/lb (2016)</v>
      </c>
    </row>
    <row r="345" spans="1:39">
      <c r="A345" s="263" t="s">
        <v>1446</v>
      </c>
      <c r="B345" s="264"/>
      <c r="C345" s="271"/>
      <c r="D345" s="365"/>
      <c r="E345" s="264">
        <v>100</v>
      </c>
      <c r="F345" s="264"/>
      <c r="G345" s="271"/>
      <c r="H345" s="271"/>
      <c r="I345" s="268"/>
      <c r="J345" s="271"/>
      <c r="K345" s="271"/>
      <c r="L345" s="271"/>
      <c r="M345" s="271"/>
      <c r="N345" s="271"/>
      <c r="O345" s="271"/>
      <c r="P345" s="265">
        <v>0.82</v>
      </c>
      <c r="Q345" s="264">
        <v>1</v>
      </c>
      <c r="R345" s="264" t="s">
        <v>20</v>
      </c>
      <c r="S345" s="264">
        <v>2006</v>
      </c>
      <c r="T345" s="266" t="s">
        <v>163</v>
      </c>
      <c r="U345" s="267">
        <v>42653</v>
      </c>
      <c r="V345" s="269"/>
      <c r="W345" s="366">
        <f>COUNT(RawMaterials[[#This Row],[Lab Quantity 1]:[Lab Quantity 4]])</f>
        <v>0</v>
      </c>
      <c r="X3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5" s="367" t="e">
        <f>RawMaterials[[#This Row],[Lab Price 1]]/RawMaterials[[#This Row],[Lab Q Model Units 1]]</f>
        <v>#N/A</v>
      </c>
      <c r="AC345" s="367" t="e">
        <f>RawMaterials[[#This Row],[Lab Price 2]]/RawMaterials[[#This Row],[Lab Q Model Units 2]]</f>
        <v>#N/A</v>
      </c>
      <c r="AD345" s="367" t="e">
        <f>RawMaterials[[#This Row],[Lab Price 3]]/RawMaterials[[#This Row],[Lab Q Model Units 3]]</f>
        <v>#N/A</v>
      </c>
      <c r="AE345" s="367" t="e">
        <f>RawMaterials[[#This Row],[Lab Price 4]]/RawMaterials[[#This Row],[Lab Q Model Units 4]]</f>
        <v>#N/A</v>
      </c>
      <c r="AF345" s="367" t="str">
        <f ca="1">IF(RawMaterials[[#This Row],[Lab Quote Count]]&gt;1,SLOPE(LOG(INDIRECT("RawMaterials[@[Lab Unit P 1]:[Lab Unit P "&amp;RawMaterials[[#This Row],[Lab Quote Count]]&amp;"]]")),LOG(INDIRECT("RawMaterials[@[Lab Q Model Units 1]:[Lab Q Model Units "&amp;RawMaterials[[#This Row],[Lab Quote Count]]&amp;"]]"))),"")</f>
        <v/>
      </c>
      <c r="AG345" s="367" t="str">
        <f ca="1">IF(RawMaterials[[#This Row],[Lab Quote Count]]&gt;1,INTERCEPT(LOG(INDIRECT("RawMaterials[@[Lab Unit P 1]:[Lab Unit P "&amp;RawMaterials[[#This Row],[Lab Quote Count]]&amp;"]]")),LOG(INDIRECT("RawMaterials[@[Lab Q Model Units 1]:[Lab Q Model Units "&amp;RawMaterials[[#This Row],[Lab Quote Count]]&amp;"]]"))),"")</f>
        <v/>
      </c>
      <c r="AH345" s="368" t="str">
        <f>IF(RawMaterials[[#This Row],[Material Type]]="Metal Precursor","D13",IF(RawMaterials[[#This Row],[Material Type]]="Ligand","D13","D12"))</f>
        <v>D12</v>
      </c>
      <c r="AI345" s="369" t="str">
        <f ca="1">IF(RawMaterials[[#This Row],[Lab Quote Count]]&gt;1,10^RawMaterials[[#This Row],[Lab Log-Log Intercept]]*INDIRECT(RawMaterials[[#This Row],[Basis Cell]])^RawMaterials[[#This Row],[Lab Log-Log Slope]],"&gt;&gt;&gt; Enter 2 or more lab quotes &lt;&lt;&lt;")</f>
        <v>&gt;&gt;&gt; Enter 2 or more lab quotes &lt;&lt;&lt;</v>
      </c>
      <c r="AJ3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45" s="372">
        <f>IF(ISTEXT(RawMaterials[[#This Row],[Unit price in quote year]]),"Check calcs",RawMaterials[[#This Row],[Unit price in quote year]]/VLOOKUP(RawMaterials[[#This Row],[Quote Year]],ChemPPI[],14,FALSE)*VLOOKUP(BasisYear,ChemPPI[],14,FALSE))</f>
        <v>1.1129166666666668</v>
      </c>
      <c r="AM345" s="373" t="str">
        <f t="shared" si="5"/>
        <v>$/lb (2016)</v>
      </c>
    </row>
    <row r="346" spans="1:39">
      <c r="A346" s="263" t="s">
        <v>1447</v>
      </c>
      <c r="B346" s="264"/>
      <c r="C346" s="271"/>
      <c r="D346" s="365"/>
      <c r="E346" s="264">
        <v>100</v>
      </c>
      <c r="F346" s="264"/>
      <c r="G346" s="271"/>
      <c r="H346" s="271"/>
      <c r="I346" s="268"/>
      <c r="J346" s="271"/>
      <c r="K346" s="271"/>
      <c r="L346" s="271"/>
      <c r="M346" s="271"/>
      <c r="N346" s="271"/>
      <c r="O346" s="271"/>
      <c r="P346" s="265">
        <v>9.75</v>
      </c>
      <c r="Q346" s="264">
        <v>1</v>
      </c>
      <c r="R346" s="264" t="s">
        <v>71</v>
      </c>
      <c r="S346" s="264">
        <v>2006</v>
      </c>
      <c r="T346" s="266" t="s">
        <v>163</v>
      </c>
      <c r="U346" s="267">
        <v>42653</v>
      </c>
      <c r="V346" s="269"/>
      <c r="W346" s="366">
        <f>COUNT(RawMaterials[[#This Row],[Lab Quantity 1]:[Lab Quantity 4]])</f>
        <v>0</v>
      </c>
      <c r="X3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6" s="367" t="e">
        <f>RawMaterials[[#This Row],[Lab Price 1]]/RawMaterials[[#This Row],[Lab Q Model Units 1]]</f>
        <v>#N/A</v>
      </c>
      <c r="AC346" s="367" t="e">
        <f>RawMaterials[[#This Row],[Lab Price 2]]/RawMaterials[[#This Row],[Lab Q Model Units 2]]</f>
        <v>#N/A</v>
      </c>
      <c r="AD346" s="367" t="e">
        <f>RawMaterials[[#This Row],[Lab Price 3]]/RawMaterials[[#This Row],[Lab Q Model Units 3]]</f>
        <v>#N/A</v>
      </c>
      <c r="AE346" s="367" t="e">
        <f>RawMaterials[[#This Row],[Lab Price 4]]/RawMaterials[[#This Row],[Lab Q Model Units 4]]</f>
        <v>#N/A</v>
      </c>
      <c r="AF346" s="367" t="str">
        <f ca="1">IF(RawMaterials[[#This Row],[Lab Quote Count]]&gt;1,SLOPE(LOG(INDIRECT("RawMaterials[@[Lab Unit P 1]:[Lab Unit P "&amp;RawMaterials[[#This Row],[Lab Quote Count]]&amp;"]]")),LOG(INDIRECT("RawMaterials[@[Lab Q Model Units 1]:[Lab Q Model Units "&amp;RawMaterials[[#This Row],[Lab Quote Count]]&amp;"]]"))),"")</f>
        <v/>
      </c>
      <c r="AG346" s="367" t="str">
        <f ca="1">IF(RawMaterials[[#This Row],[Lab Quote Count]]&gt;1,INTERCEPT(LOG(INDIRECT("RawMaterials[@[Lab Unit P 1]:[Lab Unit P "&amp;RawMaterials[[#This Row],[Lab Quote Count]]&amp;"]]")),LOG(INDIRECT("RawMaterials[@[Lab Q Model Units 1]:[Lab Q Model Units "&amp;RawMaterials[[#This Row],[Lab Quote Count]]&amp;"]]"))),"")</f>
        <v/>
      </c>
      <c r="AH346" s="368" t="str">
        <f>IF(RawMaterials[[#This Row],[Material Type]]="Metal Precursor","D13",IF(RawMaterials[[#This Row],[Material Type]]="Ligand","D13","D12"))</f>
        <v>D12</v>
      </c>
      <c r="AI346" s="369" t="str">
        <f ca="1">IF(RawMaterials[[#This Row],[Lab Quote Count]]&gt;1,10^RawMaterials[[#This Row],[Lab Log-Log Intercept]]*INDIRECT(RawMaterials[[#This Row],[Basis Cell]])^RawMaterials[[#This Row],[Lab Log-Log Slope]],"&gt;&gt;&gt; Enter 2 or more lab quotes &lt;&lt;&lt;")</f>
        <v>&gt;&gt;&gt; Enter 2 or more lab quotes &lt;&lt;&lt;</v>
      </c>
      <c r="AJ3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4.4225256074999999</v>
      </c>
      <c r="AL346" s="372">
        <f>IF(ISTEXT(RawMaterials[[#This Row],[Unit price in quote year]]),"Check calcs",RawMaterials[[#This Row],[Unit price in quote year]]/VLOOKUP(RawMaterials[[#This Row],[Quote Year]],ChemPPI[],14,FALSE)*VLOOKUP(BasisYear,ChemPPI[],14,FALSE))</f>
        <v>6.0023200699352142</v>
      </c>
      <c r="AM346" s="373" t="str">
        <f t="shared" si="5"/>
        <v>$/lb (2016)</v>
      </c>
    </row>
    <row r="347" spans="1:39">
      <c r="A347" s="263" t="s">
        <v>1448</v>
      </c>
      <c r="B347" s="264"/>
      <c r="C347" s="271"/>
      <c r="D347" s="365"/>
      <c r="E347" s="264">
        <v>100</v>
      </c>
      <c r="F347" s="264"/>
      <c r="G347" s="271"/>
      <c r="H347" s="271"/>
      <c r="I347" s="268"/>
      <c r="J347" s="271"/>
      <c r="K347" s="271"/>
      <c r="L347" s="271"/>
      <c r="M347" s="271"/>
      <c r="N347" s="271"/>
      <c r="O347" s="271"/>
      <c r="P347" s="265">
        <v>9.25</v>
      </c>
      <c r="Q347" s="264">
        <v>1</v>
      </c>
      <c r="R347" s="264" t="s">
        <v>71</v>
      </c>
      <c r="S347" s="264">
        <v>2006</v>
      </c>
      <c r="T347" s="266" t="s">
        <v>163</v>
      </c>
      <c r="U347" s="267">
        <v>42653</v>
      </c>
      <c r="V347" s="269"/>
      <c r="W347" s="366">
        <f>COUNT(RawMaterials[[#This Row],[Lab Quantity 1]:[Lab Quantity 4]])</f>
        <v>0</v>
      </c>
      <c r="X3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7" s="367" t="e">
        <f>RawMaterials[[#This Row],[Lab Price 1]]/RawMaterials[[#This Row],[Lab Q Model Units 1]]</f>
        <v>#N/A</v>
      </c>
      <c r="AC347" s="367" t="e">
        <f>RawMaterials[[#This Row],[Lab Price 2]]/RawMaterials[[#This Row],[Lab Q Model Units 2]]</f>
        <v>#N/A</v>
      </c>
      <c r="AD347" s="367" t="e">
        <f>RawMaterials[[#This Row],[Lab Price 3]]/RawMaterials[[#This Row],[Lab Q Model Units 3]]</f>
        <v>#N/A</v>
      </c>
      <c r="AE347" s="367" t="e">
        <f>RawMaterials[[#This Row],[Lab Price 4]]/RawMaterials[[#This Row],[Lab Q Model Units 4]]</f>
        <v>#N/A</v>
      </c>
      <c r="AF347" s="367" t="str">
        <f ca="1">IF(RawMaterials[[#This Row],[Lab Quote Count]]&gt;1,SLOPE(LOG(INDIRECT("RawMaterials[@[Lab Unit P 1]:[Lab Unit P "&amp;RawMaterials[[#This Row],[Lab Quote Count]]&amp;"]]")),LOG(INDIRECT("RawMaterials[@[Lab Q Model Units 1]:[Lab Q Model Units "&amp;RawMaterials[[#This Row],[Lab Quote Count]]&amp;"]]"))),"")</f>
        <v/>
      </c>
      <c r="AG347" s="367" t="str">
        <f ca="1">IF(RawMaterials[[#This Row],[Lab Quote Count]]&gt;1,INTERCEPT(LOG(INDIRECT("RawMaterials[@[Lab Unit P 1]:[Lab Unit P "&amp;RawMaterials[[#This Row],[Lab Quote Count]]&amp;"]]")),LOG(INDIRECT("RawMaterials[@[Lab Q Model Units 1]:[Lab Q Model Units "&amp;RawMaterials[[#This Row],[Lab Quote Count]]&amp;"]]"))),"")</f>
        <v/>
      </c>
      <c r="AH347" s="368" t="str">
        <f>IF(RawMaterials[[#This Row],[Material Type]]="Metal Precursor","D13",IF(RawMaterials[[#This Row],[Material Type]]="Ligand","D13","D12"))</f>
        <v>D12</v>
      </c>
      <c r="AI347" s="369" t="str">
        <f ca="1">IF(RawMaterials[[#This Row],[Lab Quote Count]]&gt;1,10^RawMaterials[[#This Row],[Lab Log-Log Intercept]]*INDIRECT(RawMaterials[[#This Row],[Basis Cell]])^RawMaterials[[#This Row],[Lab Log-Log Slope]],"&gt;&gt;&gt; Enter 2 or more lab quotes &lt;&lt;&lt;")</f>
        <v>&gt;&gt;&gt; Enter 2 or more lab quotes &lt;&lt;&lt;</v>
      </c>
      <c r="AJ3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4.1957294225000004</v>
      </c>
      <c r="AL347" s="372">
        <f>IF(ISTEXT(RawMaterials[[#This Row],[Unit price in quote year]]),"Check calcs",RawMaterials[[#This Row],[Unit price in quote year]]/VLOOKUP(RawMaterials[[#This Row],[Quote Year]],ChemPPI[],14,FALSE)*VLOOKUP(BasisYear,ChemPPI[],14,FALSE))</f>
        <v>5.6945087842975122</v>
      </c>
      <c r="AM347" s="373" t="str">
        <f t="shared" si="5"/>
        <v>$/lb (2016)</v>
      </c>
    </row>
    <row r="348" spans="1:39">
      <c r="A348" s="263" t="s">
        <v>1449</v>
      </c>
      <c r="B348" s="264"/>
      <c r="C348" s="271"/>
      <c r="D348" s="365"/>
      <c r="E348" s="264">
        <v>100</v>
      </c>
      <c r="F348" s="264"/>
      <c r="G348" s="271"/>
      <c r="H348" s="271"/>
      <c r="I348" s="268"/>
      <c r="J348" s="271"/>
      <c r="K348" s="271"/>
      <c r="L348" s="271"/>
      <c r="M348" s="271"/>
      <c r="N348" s="271"/>
      <c r="O348" s="271"/>
      <c r="P348" s="265">
        <v>9.625</v>
      </c>
      <c r="Q348" s="264">
        <v>1</v>
      </c>
      <c r="R348" s="264" t="s">
        <v>71</v>
      </c>
      <c r="S348" s="264">
        <v>2006</v>
      </c>
      <c r="T348" s="266" t="s">
        <v>163</v>
      </c>
      <c r="U348" s="267">
        <v>42653</v>
      </c>
      <c r="V348" s="269"/>
      <c r="W348" s="366">
        <f>COUNT(RawMaterials[[#This Row],[Lab Quantity 1]:[Lab Quantity 4]])</f>
        <v>0</v>
      </c>
      <c r="X3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8" s="367" t="e">
        <f>RawMaterials[[#This Row],[Lab Price 1]]/RawMaterials[[#This Row],[Lab Q Model Units 1]]</f>
        <v>#N/A</v>
      </c>
      <c r="AC348" s="367" t="e">
        <f>RawMaterials[[#This Row],[Lab Price 2]]/RawMaterials[[#This Row],[Lab Q Model Units 2]]</f>
        <v>#N/A</v>
      </c>
      <c r="AD348" s="367" t="e">
        <f>RawMaterials[[#This Row],[Lab Price 3]]/RawMaterials[[#This Row],[Lab Q Model Units 3]]</f>
        <v>#N/A</v>
      </c>
      <c r="AE348" s="367" t="e">
        <f>RawMaterials[[#This Row],[Lab Price 4]]/RawMaterials[[#This Row],[Lab Q Model Units 4]]</f>
        <v>#N/A</v>
      </c>
      <c r="AF348" s="367" t="str">
        <f ca="1">IF(RawMaterials[[#This Row],[Lab Quote Count]]&gt;1,SLOPE(LOG(INDIRECT("RawMaterials[@[Lab Unit P 1]:[Lab Unit P "&amp;RawMaterials[[#This Row],[Lab Quote Count]]&amp;"]]")),LOG(INDIRECT("RawMaterials[@[Lab Q Model Units 1]:[Lab Q Model Units "&amp;RawMaterials[[#This Row],[Lab Quote Count]]&amp;"]]"))),"")</f>
        <v/>
      </c>
      <c r="AG348" s="367" t="str">
        <f ca="1">IF(RawMaterials[[#This Row],[Lab Quote Count]]&gt;1,INTERCEPT(LOG(INDIRECT("RawMaterials[@[Lab Unit P 1]:[Lab Unit P "&amp;RawMaterials[[#This Row],[Lab Quote Count]]&amp;"]]")),LOG(INDIRECT("RawMaterials[@[Lab Q Model Units 1]:[Lab Q Model Units "&amp;RawMaterials[[#This Row],[Lab Quote Count]]&amp;"]]"))),"")</f>
        <v/>
      </c>
      <c r="AH348" s="368" t="str">
        <f>IF(RawMaterials[[#This Row],[Material Type]]="Metal Precursor","D13",IF(RawMaterials[[#This Row],[Material Type]]="Ligand","D13","D12"))</f>
        <v>D12</v>
      </c>
      <c r="AI348" s="369" t="str">
        <f ca="1">IF(RawMaterials[[#This Row],[Lab Quote Count]]&gt;1,10^RawMaterials[[#This Row],[Lab Log-Log Intercept]]*INDIRECT(RawMaterials[[#This Row],[Basis Cell]])^RawMaterials[[#This Row],[Lab Log-Log Slope]],"&gt;&gt;&gt; Enter 2 or more lab quotes &lt;&lt;&lt;")</f>
        <v>&gt;&gt;&gt; Enter 2 or more lab quotes &lt;&lt;&lt;</v>
      </c>
      <c r="AJ3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3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4.3658265612500005</v>
      </c>
      <c r="AL348" s="372">
        <f>IF(ISTEXT(RawMaterials[[#This Row],[Unit price in quote year]]),"Check calcs",RawMaterials[[#This Row],[Unit price in quote year]]/VLOOKUP(RawMaterials[[#This Row],[Quote Year]],ChemPPI[],14,FALSE)*VLOOKUP(BasisYear,ChemPPI[],14,FALSE))</f>
        <v>5.9253672485257889</v>
      </c>
      <c r="AM348" s="373" t="str">
        <f t="shared" si="5"/>
        <v>$/lb (2016)</v>
      </c>
    </row>
    <row r="349" spans="1:39">
      <c r="A349" s="377" t="s">
        <v>179</v>
      </c>
      <c r="B349" s="379"/>
      <c r="C349" s="383"/>
      <c r="D349" s="378"/>
      <c r="E349" s="379">
        <v>100</v>
      </c>
      <c r="F349" s="379"/>
      <c r="G349" s="383"/>
      <c r="H349" s="383"/>
      <c r="I349" s="380"/>
      <c r="J349" s="383"/>
      <c r="K349" s="383"/>
      <c r="L349" s="383"/>
      <c r="M349" s="383"/>
      <c r="N349" s="383"/>
      <c r="O349" s="383"/>
      <c r="P349" s="381">
        <v>6.08</v>
      </c>
      <c r="Q349" s="264">
        <v>1</v>
      </c>
      <c r="R349" s="379" t="s">
        <v>20</v>
      </c>
      <c r="S349" s="379">
        <v>2018</v>
      </c>
      <c r="T349" s="366" t="s">
        <v>1105</v>
      </c>
      <c r="U349" s="382">
        <v>43339</v>
      </c>
      <c r="V349" s="269" t="s">
        <v>1716</v>
      </c>
      <c r="W349" s="366">
        <f>COUNT(RawMaterials[[#This Row],[Lab Quantity 1]:[Lab Quantity 4]])</f>
        <v>0</v>
      </c>
      <c r="X3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49" s="367" t="e">
        <f>RawMaterials[[#This Row],[Lab Price 1]]/RawMaterials[[#This Row],[Lab Q Model Units 1]]</f>
        <v>#N/A</v>
      </c>
      <c r="AC349" s="367" t="e">
        <f>RawMaterials[[#This Row],[Lab Price 2]]/RawMaterials[[#This Row],[Lab Q Model Units 2]]</f>
        <v>#N/A</v>
      </c>
      <c r="AD349" s="367" t="e">
        <f>RawMaterials[[#This Row],[Lab Price 3]]/RawMaterials[[#This Row],[Lab Q Model Units 3]]</f>
        <v>#N/A</v>
      </c>
      <c r="AE349" s="367" t="e">
        <f>RawMaterials[[#This Row],[Lab Price 4]]/RawMaterials[[#This Row],[Lab Q Model Units 4]]</f>
        <v>#N/A</v>
      </c>
      <c r="AF349" s="367" t="str">
        <f ca="1">IF(RawMaterials[[#This Row],[Lab Quote Count]]&gt;1,SLOPE(LOG(INDIRECT("RawMaterials[@[Lab Unit P 1]:[Lab Unit P "&amp;RawMaterials[[#This Row],[Lab Quote Count]]&amp;"]]")),LOG(INDIRECT("RawMaterials[@[Lab Q Model Units 1]:[Lab Q Model Units "&amp;RawMaterials[[#This Row],[Lab Quote Count]]&amp;"]]"))),"")</f>
        <v/>
      </c>
      <c r="AG349" s="367" t="str">
        <f ca="1">IF(RawMaterials[[#This Row],[Lab Quote Count]]&gt;1,INTERCEPT(LOG(INDIRECT("RawMaterials[@[Lab Unit P 1]:[Lab Unit P "&amp;RawMaterials[[#This Row],[Lab Quote Count]]&amp;"]]")),LOG(INDIRECT("RawMaterials[@[Lab Q Model Units 1]:[Lab Q Model Units "&amp;RawMaterials[[#This Row],[Lab Quote Count]]&amp;"]]"))),"")</f>
        <v/>
      </c>
      <c r="AH349" s="368" t="str">
        <f>IF(RawMaterials[[#This Row],[Material Type]]="Metal Precursor","D13",IF(RawMaterials[[#This Row],[Material Type]]="Ligand","D13","D12"))</f>
        <v>D12</v>
      </c>
      <c r="AI349" s="369" t="str">
        <f ca="1">IF(RawMaterials[[#This Row],[Lab Quote Count]]&gt;1,10^RawMaterials[[#This Row],[Lab Log-Log Intercept]]*INDIRECT(RawMaterials[[#This Row],[Basis Cell]])^RawMaterials[[#This Row],[Lab Log-Log Slope]],"&gt;&gt;&gt; Enter 2 or more lab quotes &lt;&lt;&lt;")</f>
        <v>&gt;&gt;&gt; Enter 2 or more lab quotes &lt;&lt;&lt;</v>
      </c>
      <c r="AJ3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6.08</v>
      </c>
      <c r="AL349" s="372">
        <f>IF(ISTEXT(RawMaterials[[#This Row],[Unit price in quote year]]),"Check calcs",RawMaterials[[#This Row],[Unit price in quote year]]/VLOOKUP(RawMaterials[[#This Row],[Quote Year]],ChemPPI[],14,FALSE)*VLOOKUP(BasisYear,ChemPPI[],14,FALSE))</f>
        <v>5.6489773201614026</v>
      </c>
      <c r="AM349" s="373" t="str">
        <f t="shared" si="5"/>
        <v>$/lb (2016)</v>
      </c>
    </row>
    <row r="350" spans="1:39">
      <c r="A350" s="263" t="s">
        <v>1450</v>
      </c>
      <c r="B350" s="264"/>
      <c r="C350" s="271"/>
      <c r="D350" s="365"/>
      <c r="E350" s="264">
        <v>100</v>
      </c>
      <c r="F350" s="264"/>
      <c r="G350" s="271"/>
      <c r="H350" s="271"/>
      <c r="I350" s="268"/>
      <c r="J350" s="271"/>
      <c r="K350" s="271"/>
      <c r="L350" s="271"/>
      <c r="M350" s="271"/>
      <c r="N350" s="271"/>
      <c r="O350" s="271"/>
      <c r="P350" s="265">
        <v>220</v>
      </c>
      <c r="Q350" s="264">
        <v>1</v>
      </c>
      <c r="R350" s="264" t="s">
        <v>406</v>
      </c>
      <c r="S350" s="264">
        <v>2006</v>
      </c>
      <c r="T350" s="266" t="s">
        <v>163</v>
      </c>
      <c r="U350" s="267">
        <v>42653</v>
      </c>
      <c r="V350" s="269"/>
      <c r="W350" s="366">
        <f>COUNT(RawMaterials[[#This Row],[Lab Quantity 1]:[Lab Quantity 4]])</f>
        <v>0</v>
      </c>
      <c r="X3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0" s="367" t="e">
        <f>RawMaterials[[#This Row],[Lab Price 1]]/RawMaterials[[#This Row],[Lab Q Model Units 1]]</f>
        <v>#N/A</v>
      </c>
      <c r="AC350" s="367" t="e">
        <f>RawMaterials[[#This Row],[Lab Price 2]]/RawMaterials[[#This Row],[Lab Q Model Units 2]]</f>
        <v>#N/A</v>
      </c>
      <c r="AD350" s="367" t="e">
        <f>RawMaterials[[#This Row],[Lab Price 3]]/RawMaterials[[#This Row],[Lab Q Model Units 3]]</f>
        <v>#N/A</v>
      </c>
      <c r="AE350" s="367" t="e">
        <f>RawMaterials[[#This Row],[Lab Price 4]]/RawMaterials[[#This Row],[Lab Q Model Units 4]]</f>
        <v>#N/A</v>
      </c>
      <c r="AF350" s="367" t="str">
        <f ca="1">IF(RawMaterials[[#This Row],[Lab Quote Count]]&gt;1,SLOPE(LOG(INDIRECT("RawMaterials[@[Lab Unit P 1]:[Lab Unit P "&amp;RawMaterials[[#This Row],[Lab Quote Count]]&amp;"]]")),LOG(INDIRECT("RawMaterials[@[Lab Q Model Units 1]:[Lab Q Model Units "&amp;RawMaterials[[#This Row],[Lab Quote Count]]&amp;"]]"))),"")</f>
        <v/>
      </c>
      <c r="AG350" s="367" t="str">
        <f ca="1">IF(RawMaterials[[#This Row],[Lab Quote Count]]&gt;1,INTERCEPT(LOG(INDIRECT("RawMaterials[@[Lab Unit P 1]:[Lab Unit P "&amp;RawMaterials[[#This Row],[Lab Quote Count]]&amp;"]]")),LOG(INDIRECT("RawMaterials[@[Lab Q Model Units 1]:[Lab Q Model Units "&amp;RawMaterials[[#This Row],[Lab Quote Count]]&amp;"]]"))),"")</f>
        <v/>
      </c>
      <c r="AH350" s="368" t="str">
        <f>IF(RawMaterials[[#This Row],[Material Type]]="Metal Precursor","D13",IF(RawMaterials[[#This Row],[Material Type]]="Ligand","D13","D12"))</f>
        <v>D12</v>
      </c>
      <c r="AI350" s="369" t="str">
        <f ca="1">IF(RawMaterials[[#This Row],[Lab Quote Count]]&gt;1,10^RawMaterials[[#This Row],[Lab Log-Log Intercept]]*INDIRECT(RawMaterials[[#This Row],[Basis Cell]])^RawMaterials[[#This Row],[Lab Log-Log Slope]],"&gt;&gt;&gt; Enter 2 or more lab quotes &lt;&lt;&lt;")</f>
        <v>&gt;&gt;&gt; Enter 2 or more lab quotes &lt;&lt;&lt;</v>
      </c>
      <c r="AJ3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v>
      </c>
      <c r="AL350" s="372">
        <f>IF(ISTEXT(RawMaterials[[#This Row],[Unit price in quote year]]),"Check calcs",RawMaterials[[#This Row],[Unit price in quote year]]/VLOOKUP(RawMaterials[[#This Row],[Quote Year]],ChemPPI[],14,FALSE)*VLOOKUP(BasisYear,ChemPPI[],14,FALSE))</f>
        <v>0.1492936991869919</v>
      </c>
      <c r="AM350" s="373" t="str">
        <f t="shared" si="5"/>
        <v>$/lb (2016)</v>
      </c>
    </row>
    <row r="351" spans="1:39">
      <c r="A351" s="263" t="s">
        <v>1451</v>
      </c>
      <c r="B351" s="264"/>
      <c r="C351" s="271"/>
      <c r="D351" s="365"/>
      <c r="E351" s="264">
        <v>100</v>
      </c>
      <c r="F351" s="264"/>
      <c r="G351" s="271"/>
      <c r="H351" s="271"/>
      <c r="I351" s="268"/>
      <c r="J351" s="271"/>
      <c r="K351" s="271"/>
      <c r="L351" s="271"/>
      <c r="M351" s="271"/>
      <c r="N351" s="271"/>
      <c r="O351" s="271"/>
      <c r="P351" s="265">
        <v>0.33500000000000002</v>
      </c>
      <c r="Q351" s="264">
        <v>1</v>
      </c>
      <c r="R351" s="264" t="s">
        <v>20</v>
      </c>
      <c r="S351" s="264">
        <v>2006</v>
      </c>
      <c r="T351" s="266" t="s">
        <v>163</v>
      </c>
      <c r="U351" s="267">
        <v>42653</v>
      </c>
      <c r="V351" s="269"/>
      <c r="W351" s="366">
        <f>COUNT(RawMaterials[[#This Row],[Lab Quantity 1]:[Lab Quantity 4]])</f>
        <v>0</v>
      </c>
      <c r="X3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1" s="367" t="e">
        <f>RawMaterials[[#This Row],[Lab Price 1]]/RawMaterials[[#This Row],[Lab Q Model Units 1]]</f>
        <v>#N/A</v>
      </c>
      <c r="AC351" s="367" t="e">
        <f>RawMaterials[[#This Row],[Lab Price 2]]/RawMaterials[[#This Row],[Lab Q Model Units 2]]</f>
        <v>#N/A</v>
      </c>
      <c r="AD351" s="367" t="e">
        <f>RawMaterials[[#This Row],[Lab Price 3]]/RawMaterials[[#This Row],[Lab Q Model Units 3]]</f>
        <v>#N/A</v>
      </c>
      <c r="AE351" s="367" t="e">
        <f>RawMaterials[[#This Row],[Lab Price 4]]/RawMaterials[[#This Row],[Lab Q Model Units 4]]</f>
        <v>#N/A</v>
      </c>
      <c r="AF351" s="367" t="str">
        <f ca="1">IF(RawMaterials[[#This Row],[Lab Quote Count]]&gt;1,SLOPE(LOG(INDIRECT("RawMaterials[@[Lab Unit P 1]:[Lab Unit P "&amp;RawMaterials[[#This Row],[Lab Quote Count]]&amp;"]]")),LOG(INDIRECT("RawMaterials[@[Lab Q Model Units 1]:[Lab Q Model Units "&amp;RawMaterials[[#This Row],[Lab Quote Count]]&amp;"]]"))),"")</f>
        <v/>
      </c>
      <c r="AG351" s="367" t="str">
        <f ca="1">IF(RawMaterials[[#This Row],[Lab Quote Count]]&gt;1,INTERCEPT(LOG(INDIRECT("RawMaterials[@[Lab Unit P 1]:[Lab Unit P "&amp;RawMaterials[[#This Row],[Lab Quote Count]]&amp;"]]")),LOG(INDIRECT("RawMaterials[@[Lab Q Model Units 1]:[Lab Q Model Units "&amp;RawMaterials[[#This Row],[Lab Quote Count]]&amp;"]]"))),"")</f>
        <v/>
      </c>
      <c r="AH351" s="368" t="str">
        <f>IF(RawMaterials[[#This Row],[Material Type]]="Metal Precursor","D13",IF(RawMaterials[[#This Row],[Material Type]]="Ligand","D13","D12"))</f>
        <v>D12</v>
      </c>
      <c r="AI351" s="369" t="str">
        <f ca="1">IF(RawMaterials[[#This Row],[Lab Quote Count]]&gt;1,10^RawMaterials[[#This Row],[Lab Log-Log Intercept]]*INDIRECT(RawMaterials[[#This Row],[Basis Cell]])^RawMaterials[[#This Row],[Lab Log-Log Slope]],"&gt;&gt;&gt; Enter 2 or more lab quotes &lt;&lt;&lt;")</f>
        <v>&gt;&gt;&gt; Enter 2 or more lab quotes &lt;&lt;&lt;</v>
      </c>
      <c r="AJ3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0.33500000000000002</v>
      </c>
      <c r="AL351" s="372">
        <f>IF(ISTEXT(RawMaterials[[#This Row],[Unit price in quote year]]),"Check calcs",RawMaterials[[#This Row],[Unit price in quote year]]/VLOOKUP(RawMaterials[[#This Row],[Quote Year]],ChemPPI[],14,FALSE)*VLOOKUP(BasisYear,ChemPPI[],14,FALSE))</f>
        <v>0.45466717479674806</v>
      </c>
      <c r="AM351" s="373" t="str">
        <f t="shared" si="5"/>
        <v>$/lb (2016)</v>
      </c>
    </row>
    <row r="352" spans="1:39">
      <c r="A352" s="263" t="s">
        <v>1452</v>
      </c>
      <c r="B352" s="264"/>
      <c r="C352" s="271"/>
      <c r="D352" s="365"/>
      <c r="E352" s="264">
        <v>100</v>
      </c>
      <c r="F352" s="264"/>
      <c r="G352" s="271"/>
      <c r="H352" s="271"/>
      <c r="I352" s="268"/>
      <c r="J352" s="271"/>
      <c r="K352" s="271"/>
      <c r="L352" s="271"/>
      <c r="M352" s="271"/>
      <c r="N352" s="271"/>
      <c r="O352" s="271"/>
      <c r="P352" s="265">
        <v>0.56000000000000005</v>
      </c>
      <c r="Q352" s="264">
        <v>1</v>
      </c>
      <c r="R352" s="264" t="s">
        <v>20</v>
      </c>
      <c r="S352" s="264">
        <v>2008</v>
      </c>
      <c r="T352" s="266" t="s">
        <v>163</v>
      </c>
      <c r="U352" s="267">
        <v>42653</v>
      </c>
      <c r="V352" s="269"/>
      <c r="W352" s="366">
        <f>COUNT(RawMaterials[[#This Row],[Lab Quantity 1]:[Lab Quantity 4]])</f>
        <v>0</v>
      </c>
      <c r="X3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2" s="367" t="e">
        <f>RawMaterials[[#This Row],[Lab Price 1]]/RawMaterials[[#This Row],[Lab Q Model Units 1]]</f>
        <v>#N/A</v>
      </c>
      <c r="AC352" s="367" t="e">
        <f>RawMaterials[[#This Row],[Lab Price 2]]/RawMaterials[[#This Row],[Lab Q Model Units 2]]</f>
        <v>#N/A</v>
      </c>
      <c r="AD352" s="367" t="e">
        <f>RawMaterials[[#This Row],[Lab Price 3]]/RawMaterials[[#This Row],[Lab Q Model Units 3]]</f>
        <v>#N/A</v>
      </c>
      <c r="AE352" s="367" t="e">
        <f>RawMaterials[[#This Row],[Lab Price 4]]/RawMaterials[[#This Row],[Lab Q Model Units 4]]</f>
        <v>#N/A</v>
      </c>
      <c r="AF352" s="367" t="str">
        <f ca="1">IF(RawMaterials[[#This Row],[Lab Quote Count]]&gt;1,SLOPE(LOG(INDIRECT("RawMaterials[@[Lab Unit P 1]:[Lab Unit P "&amp;RawMaterials[[#This Row],[Lab Quote Count]]&amp;"]]")),LOG(INDIRECT("RawMaterials[@[Lab Q Model Units 1]:[Lab Q Model Units "&amp;RawMaterials[[#This Row],[Lab Quote Count]]&amp;"]]"))),"")</f>
        <v/>
      </c>
      <c r="AG352" s="367" t="str">
        <f ca="1">IF(RawMaterials[[#This Row],[Lab Quote Count]]&gt;1,INTERCEPT(LOG(INDIRECT("RawMaterials[@[Lab Unit P 1]:[Lab Unit P "&amp;RawMaterials[[#This Row],[Lab Quote Count]]&amp;"]]")),LOG(INDIRECT("RawMaterials[@[Lab Q Model Units 1]:[Lab Q Model Units "&amp;RawMaterials[[#This Row],[Lab Quote Count]]&amp;"]]"))),"")</f>
        <v/>
      </c>
      <c r="AH352" s="368" t="str">
        <f>IF(RawMaterials[[#This Row],[Material Type]]="Metal Precursor","D13",IF(RawMaterials[[#This Row],[Material Type]]="Ligand","D13","D12"))</f>
        <v>D12</v>
      </c>
      <c r="AI352" s="369" t="str">
        <f ca="1">IF(RawMaterials[[#This Row],[Lab Quote Count]]&gt;1,10^RawMaterials[[#This Row],[Lab Log-Log Intercept]]*INDIRECT(RawMaterials[[#This Row],[Basis Cell]])^RawMaterials[[#This Row],[Lab Log-Log Slope]],"&gt;&gt;&gt; Enter 2 or more lab quotes &lt;&lt;&lt;")</f>
        <v>&gt;&gt;&gt; Enter 2 or more lab quotes &lt;&lt;&lt;</v>
      </c>
      <c r="AJ3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352" s="372">
        <f>IF(ISTEXT(RawMaterials[[#This Row],[Unit price in quote year]]),"Check calcs",RawMaterials[[#This Row],[Unit price in quote year]]/VLOOKUP(RawMaterials[[#This Row],[Quote Year]],ChemPPI[],14,FALSE)*VLOOKUP(BasisYear,ChemPPI[],14,FALSE))</f>
        <v>0.65543618769399314</v>
      </c>
      <c r="AM352" s="373" t="str">
        <f t="shared" si="5"/>
        <v>$/lb (2016)</v>
      </c>
    </row>
    <row r="353" spans="1:39">
      <c r="A353" s="263" t="s">
        <v>1453</v>
      </c>
      <c r="B353" s="264"/>
      <c r="C353" s="271"/>
      <c r="D353" s="365"/>
      <c r="E353" s="264">
        <v>100</v>
      </c>
      <c r="F353" s="264"/>
      <c r="G353" s="271"/>
      <c r="H353" s="271"/>
      <c r="I353" s="268"/>
      <c r="J353" s="271"/>
      <c r="K353" s="271"/>
      <c r="L353" s="271"/>
      <c r="M353" s="271"/>
      <c r="N353" s="271"/>
      <c r="O353" s="271"/>
      <c r="P353" s="265">
        <v>0.55499999999999905</v>
      </c>
      <c r="Q353" s="264">
        <v>1</v>
      </c>
      <c r="R353" s="264" t="s">
        <v>20</v>
      </c>
      <c r="S353" s="264">
        <v>2008</v>
      </c>
      <c r="T353" s="266" t="s">
        <v>163</v>
      </c>
      <c r="U353" s="267">
        <v>42653</v>
      </c>
      <c r="V353" s="269"/>
      <c r="W353" s="366">
        <f>COUNT(RawMaterials[[#This Row],[Lab Quantity 1]:[Lab Quantity 4]])</f>
        <v>0</v>
      </c>
      <c r="X3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3" s="367" t="e">
        <f>RawMaterials[[#This Row],[Lab Price 1]]/RawMaterials[[#This Row],[Lab Q Model Units 1]]</f>
        <v>#N/A</v>
      </c>
      <c r="AC353" s="367" t="e">
        <f>RawMaterials[[#This Row],[Lab Price 2]]/RawMaterials[[#This Row],[Lab Q Model Units 2]]</f>
        <v>#N/A</v>
      </c>
      <c r="AD353" s="367" t="e">
        <f>RawMaterials[[#This Row],[Lab Price 3]]/RawMaterials[[#This Row],[Lab Q Model Units 3]]</f>
        <v>#N/A</v>
      </c>
      <c r="AE353" s="367" t="e">
        <f>RawMaterials[[#This Row],[Lab Price 4]]/RawMaterials[[#This Row],[Lab Q Model Units 4]]</f>
        <v>#N/A</v>
      </c>
      <c r="AF353" s="367" t="str">
        <f ca="1">IF(RawMaterials[[#This Row],[Lab Quote Count]]&gt;1,SLOPE(LOG(INDIRECT("RawMaterials[@[Lab Unit P 1]:[Lab Unit P "&amp;RawMaterials[[#This Row],[Lab Quote Count]]&amp;"]]")),LOG(INDIRECT("RawMaterials[@[Lab Q Model Units 1]:[Lab Q Model Units "&amp;RawMaterials[[#This Row],[Lab Quote Count]]&amp;"]]"))),"")</f>
        <v/>
      </c>
      <c r="AG353" s="367" t="str">
        <f ca="1">IF(RawMaterials[[#This Row],[Lab Quote Count]]&gt;1,INTERCEPT(LOG(INDIRECT("RawMaterials[@[Lab Unit P 1]:[Lab Unit P "&amp;RawMaterials[[#This Row],[Lab Quote Count]]&amp;"]]")),LOG(INDIRECT("RawMaterials[@[Lab Q Model Units 1]:[Lab Q Model Units "&amp;RawMaterials[[#This Row],[Lab Quote Count]]&amp;"]]"))),"")</f>
        <v/>
      </c>
      <c r="AH353" s="368" t="str">
        <f>IF(RawMaterials[[#This Row],[Material Type]]="Metal Precursor","D13",IF(RawMaterials[[#This Row],[Material Type]]="Ligand","D13","D12"))</f>
        <v>D12</v>
      </c>
      <c r="AI353" s="369" t="str">
        <f ca="1">IF(RawMaterials[[#This Row],[Lab Quote Count]]&gt;1,10^RawMaterials[[#This Row],[Lab Log-Log Intercept]]*INDIRECT(RawMaterials[[#This Row],[Basis Cell]])^RawMaterials[[#This Row],[Lab Log-Log Slope]],"&gt;&gt;&gt; Enter 2 or more lab quotes &lt;&lt;&lt;")</f>
        <v>&gt;&gt;&gt; Enter 2 or more lab quotes &lt;&lt;&lt;</v>
      </c>
      <c r="AJ3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0.55499999999999905</v>
      </c>
      <c r="AL353" s="372">
        <f>IF(ISTEXT(RawMaterials[[#This Row],[Unit price in quote year]]),"Check calcs",RawMaterials[[#This Row],[Unit price in quote year]]/VLOOKUP(RawMaterials[[#This Row],[Quote Year]],ChemPPI[],14,FALSE)*VLOOKUP(BasisYear,ChemPPI[],14,FALSE))</f>
        <v>0.64958407887529557</v>
      </c>
      <c r="AM353" s="373" t="str">
        <f t="shared" si="5"/>
        <v>$/lb (2016)</v>
      </c>
    </row>
    <row r="354" spans="1:39">
      <c r="A354" s="263" t="s">
        <v>1454</v>
      </c>
      <c r="B354" s="264"/>
      <c r="C354" s="271"/>
      <c r="D354" s="365"/>
      <c r="E354" s="264">
        <v>100</v>
      </c>
      <c r="F354" s="264"/>
      <c r="G354" s="271"/>
      <c r="H354" s="271"/>
      <c r="I354" s="268"/>
      <c r="J354" s="271"/>
      <c r="K354" s="271"/>
      <c r="L354" s="271"/>
      <c r="M354" s="271"/>
      <c r="N354" s="271"/>
      <c r="O354" s="271"/>
      <c r="P354" s="265">
        <v>1.5</v>
      </c>
      <c r="Q354" s="264">
        <v>1</v>
      </c>
      <c r="R354" s="264" t="s">
        <v>20</v>
      </c>
      <c r="S354" s="264">
        <v>2006</v>
      </c>
      <c r="T354" s="266" t="s">
        <v>163</v>
      </c>
      <c r="U354" s="267">
        <v>42653</v>
      </c>
      <c r="V354" s="269"/>
      <c r="W354" s="366">
        <f>COUNT(RawMaterials[[#This Row],[Lab Quantity 1]:[Lab Quantity 4]])</f>
        <v>0</v>
      </c>
      <c r="X3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4" s="367" t="e">
        <f>RawMaterials[[#This Row],[Lab Price 1]]/RawMaterials[[#This Row],[Lab Q Model Units 1]]</f>
        <v>#N/A</v>
      </c>
      <c r="AC354" s="367" t="e">
        <f>RawMaterials[[#This Row],[Lab Price 2]]/RawMaterials[[#This Row],[Lab Q Model Units 2]]</f>
        <v>#N/A</v>
      </c>
      <c r="AD354" s="367" t="e">
        <f>RawMaterials[[#This Row],[Lab Price 3]]/RawMaterials[[#This Row],[Lab Q Model Units 3]]</f>
        <v>#N/A</v>
      </c>
      <c r="AE354" s="367" t="e">
        <f>RawMaterials[[#This Row],[Lab Price 4]]/RawMaterials[[#This Row],[Lab Q Model Units 4]]</f>
        <v>#N/A</v>
      </c>
      <c r="AF354" s="367" t="str">
        <f ca="1">IF(RawMaterials[[#This Row],[Lab Quote Count]]&gt;1,SLOPE(LOG(INDIRECT("RawMaterials[@[Lab Unit P 1]:[Lab Unit P "&amp;RawMaterials[[#This Row],[Lab Quote Count]]&amp;"]]")),LOG(INDIRECT("RawMaterials[@[Lab Q Model Units 1]:[Lab Q Model Units "&amp;RawMaterials[[#This Row],[Lab Quote Count]]&amp;"]]"))),"")</f>
        <v/>
      </c>
      <c r="AG354" s="367" t="str">
        <f ca="1">IF(RawMaterials[[#This Row],[Lab Quote Count]]&gt;1,INTERCEPT(LOG(INDIRECT("RawMaterials[@[Lab Unit P 1]:[Lab Unit P "&amp;RawMaterials[[#This Row],[Lab Quote Count]]&amp;"]]")),LOG(INDIRECT("RawMaterials[@[Lab Q Model Units 1]:[Lab Q Model Units "&amp;RawMaterials[[#This Row],[Lab Quote Count]]&amp;"]]"))),"")</f>
        <v/>
      </c>
      <c r="AH354" s="368" t="str">
        <f>IF(RawMaterials[[#This Row],[Material Type]]="Metal Precursor","D13",IF(RawMaterials[[#This Row],[Material Type]]="Ligand","D13","D12"))</f>
        <v>D12</v>
      </c>
      <c r="AI354" s="369" t="str">
        <f ca="1">IF(RawMaterials[[#This Row],[Lab Quote Count]]&gt;1,10^RawMaterials[[#This Row],[Lab Log-Log Intercept]]*INDIRECT(RawMaterials[[#This Row],[Basis Cell]])^RawMaterials[[#This Row],[Lab Log-Log Slope]],"&gt;&gt;&gt; Enter 2 or more lab quotes &lt;&lt;&lt;")</f>
        <v>&gt;&gt;&gt; Enter 2 or more lab quotes &lt;&lt;&lt;</v>
      </c>
      <c r="AJ3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54" s="372">
        <f>IF(ISTEXT(RawMaterials[[#This Row],[Unit price in quote year]]),"Check calcs",RawMaterials[[#This Row],[Unit price in quote year]]/VLOOKUP(RawMaterials[[#This Row],[Quote Year]],ChemPPI[],14,FALSE)*VLOOKUP(BasisYear,ChemPPI[],14,FALSE))</f>
        <v>2.0358231707317076</v>
      </c>
      <c r="AM354" s="373" t="str">
        <f t="shared" si="5"/>
        <v>$/lb (2016)</v>
      </c>
    </row>
    <row r="355" spans="1:39">
      <c r="A355" s="263" t="s">
        <v>1455</v>
      </c>
      <c r="B355" s="264"/>
      <c r="C355" s="271"/>
      <c r="D355" s="365"/>
      <c r="E355" s="264">
        <v>100</v>
      </c>
      <c r="F355" s="264"/>
      <c r="G355" s="271"/>
      <c r="H355" s="271"/>
      <c r="I355" s="268"/>
      <c r="J355" s="271"/>
      <c r="K355" s="271"/>
      <c r="L355" s="271"/>
      <c r="M355" s="271"/>
      <c r="N355" s="271"/>
      <c r="O355" s="271"/>
      <c r="P355" s="265">
        <v>0.49149999999999999</v>
      </c>
      <c r="Q355" s="264">
        <v>1</v>
      </c>
      <c r="R355" s="264" t="s">
        <v>20</v>
      </c>
      <c r="S355" s="264">
        <v>2007</v>
      </c>
      <c r="T355" s="266" t="s">
        <v>163</v>
      </c>
      <c r="U355" s="267">
        <v>42653</v>
      </c>
      <c r="V355" s="269"/>
      <c r="W355" s="366">
        <f>COUNT(RawMaterials[[#This Row],[Lab Quantity 1]:[Lab Quantity 4]])</f>
        <v>0</v>
      </c>
      <c r="X3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5" s="367" t="e">
        <f>RawMaterials[[#This Row],[Lab Price 1]]/RawMaterials[[#This Row],[Lab Q Model Units 1]]</f>
        <v>#N/A</v>
      </c>
      <c r="AC355" s="367" t="e">
        <f>RawMaterials[[#This Row],[Lab Price 2]]/RawMaterials[[#This Row],[Lab Q Model Units 2]]</f>
        <v>#N/A</v>
      </c>
      <c r="AD355" s="367" t="e">
        <f>RawMaterials[[#This Row],[Lab Price 3]]/RawMaterials[[#This Row],[Lab Q Model Units 3]]</f>
        <v>#N/A</v>
      </c>
      <c r="AE355" s="367" t="e">
        <f>RawMaterials[[#This Row],[Lab Price 4]]/RawMaterials[[#This Row],[Lab Q Model Units 4]]</f>
        <v>#N/A</v>
      </c>
      <c r="AF355" s="367" t="str">
        <f ca="1">IF(RawMaterials[[#This Row],[Lab Quote Count]]&gt;1,SLOPE(LOG(INDIRECT("RawMaterials[@[Lab Unit P 1]:[Lab Unit P "&amp;RawMaterials[[#This Row],[Lab Quote Count]]&amp;"]]")),LOG(INDIRECT("RawMaterials[@[Lab Q Model Units 1]:[Lab Q Model Units "&amp;RawMaterials[[#This Row],[Lab Quote Count]]&amp;"]]"))),"")</f>
        <v/>
      </c>
      <c r="AG355" s="367" t="str">
        <f ca="1">IF(RawMaterials[[#This Row],[Lab Quote Count]]&gt;1,INTERCEPT(LOG(INDIRECT("RawMaterials[@[Lab Unit P 1]:[Lab Unit P "&amp;RawMaterials[[#This Row],[Lab Quote Count]]&amp;"]]")),LOG(INDIRECT("RawMaterials[@[Lab Q Model Units 1]:[Lab Q Model Units "&amp;RawMaterials[[#This Row],[Lab Quote Count]]&amp;"]]"))),"")</f>
        <v/>
      </c>
      <c r="AH355" s="368" t="str">
        <f>IF(RawMaterials[[#This Row],[Material Type]]="Metal Precursor","D13",IF(RawMaterials[[#This Row],[Material Type]]="Ligand","D13","D12"))</f>
        <v>D12</v>
      </c>
      <c r="AI355" s="369" t="str">
        <f ca="1">IF(RawMaterials[[#This Row],[Lab Quote Count]]&gt;1,10^RawMaterials[[#This Row],[Lab Log-Log Intercept]]*INDIRECT(RawMaterials[[#This Row],[Basis Cell]])^RawMaterials[[#This Row],[Lab Log-Log Slope]],"&gt;&gt;&gt; Enter 2 or more lab quotes &lt;&lt;&lt;")</f>
        <v>&gt;&gt;&gt; Enter 2 or more lab quotes &lt;&lt;&lt;</v>
      </c>
      <c r="AJ3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0.49149999999999999</v>
      </c>
      <c r="AL355" s="372">
        <f>IF(ISTEXT(RawMaterials[[#This Row],[Unit price in quote year]]),"Check calcs",RawMaterials[[#This Row],[Unit price in quote year]]/VLOOKUP(RawMaterials[[#This Row],[Quote Year]],ChemPPI[],14,FALSE)*VLOOKUP(BasisYear,ChemPPI[],14,FALSE))</f>
        <v>0.64561116347690672</v>
      </c>
      <c r="AM355" s="373" t="str">
        <f t="shared" si="5"/>
        <v>$/lb (2016)</v>
      </c>
    </row>
    <row r="356" spans="1:39">
      <c r="A356" s="263" t="s">
        <v>1456</v>
      </c>
      <c r="B356" s="264"/>
      <c r="C356" s="271"/>
      <c r="D356" s="365"/>
      <c r="E356" s="264">
        <v>100</v>
      </c>
      <c r="F356" s="264"/>
      <c r="G356" s="271"/>
      <c r="H356" s="271"/>
      <c r="I356" s="268"/>
      <c r="J356" s="271"/>
      <c r="K356" s="271"/>
      <c r="L356" s="271"/>
      <c r="M356" s="271"/>
      <c r="N356" s="271"/>
      <c r="O356" s="271"/>
      <c r="P356" s="265">
        <v>0.48499999999999999</v>
      </c>
      <c r="Q356" s="264">
        <v>1</v>
      </c>
      <c r="R356" s="264" t="s">
        <v>20</v>
      </c>
      <c r="S356" s="264">
        <v>2007</v>
      </c>
      <c r="T356" s="266" t="s">
        <v>163</v>
      </c>
      <c r="U356" s="267">
        <v>42653</v>
      </c>
      <c r="V356" s="269"/>
      <c r="W356" s="366">
        <f>COUNT(RawMaterials[[#This Row],[Lab Quantity 1]:[Lab Quantity 4]])</f>
        <v>0</v>
      </c>
      <c r="X3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6" s="367" t="e">
        <f>RawMaterials[[#This Row],[Lab Price 1]]/RawMaterials[[#This Row],[Lab Q Model Units 1]]</f>
        <v>#N/A</v>
      </c>
      <c r="AC356" s="367" t="e">
        <f>RawMaterials[[#This Row],[Lab Price 2]]/RawMaterials[[#This Row],[Lab Q Model Units 2]]</f>
        <v>#N/A</v>
      </c>
      <c r="AD356" s="367" t="e">
        <f>RawMaterials[[#This Row],[Lab Price 3]]/RawMaterials[[#This Row],[Lab Q Model Units 3]]</f>
        <v>#N/A</v>
      </c>
      <c r="AE356" s="367" t="e">
        <f>RawMaterials[[#This Row],[Lab Price 4]]/RawMaterials[[#This Row],[Lab Q Model Units 4]]</f>
        <v>#N/A</v>
      </c>
      <c r="AF356" s="367" t="str">
        <f ca="1">IF(RawMaterials[[#This Row],[Lab Quote Count]]&gt;1,SLOPE(LOG(INDIRECT("RawMaterials[@[Lab Unit P 1]:[Lab Unit P "&amp;RawMaterials[[#This Row],[Lab Quote Count]]&amp;"]]")),LOG(INDIRECT("RawMaterials[@[Lab Q Model Units 1]:[Lab Q Model Units "&amp;RawMaterials[[#This Row],[Lab Quote Count]]&amp;"]]"))),"")</f>
        <v/>
      </c>
      <c r="AG356" s="367" t="str">
        <f ca="1">IF(RawMaterials[[#This Row],[Lab Quote Count]]&gt;1,INTERCEPT(LOG(INDIRECT("RawMaterials[@[Lab Unit P 1]:[Lab Unit P "&amp;RawMaterials[[#This Row],[Lab Quote Count]]&amp;"]]")),LOG(INDIRECT("RawMaterials[@[Lab Q Model Units 1]:[Lab Q Model Units "&amp;RawMaterials[[#This Row],[Lab Quote Count]]&amp;"]]"))),"")</f>
        <v/>
      </c>
      <c r="AH356" s="368" t="str">
        <f>IF(RawMaterials[[#This Row],[Material Type]]="Metal Precursor","D13",IF(RawMaterials[[#This Row],[Material Type]]="Ligand","D13","D12"))</f>
        <v>D12</v>
      </c>
      <c r="AI356" s="369" t="str">
        <f ca="1">IF(RawMaterials[[#This Row],[Lab Quote Count]]&gt;1,10^RawMaterials[[#This Row],[Lab Log-Log Intercept]]*INDIRECT(RawMaterials[[#This Row],[Basis Cell]])^RawMaterials[[#This Row],[Lab Log-Log Slope]],"&gt;&gt;&gt; Enter 2 or more lab quotes &lt;&lt;&lt;")</f>
        <v>&gt;&gt;&gt; Enter 2 or more lab quotes &lt;&lt;&lt;</v>
      </c>
      <c r="AJ3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56" s="372">
        <f>IF(ISTEXT(RawMaterials[[#This Row],[Unit price in quote year]]),"Check calcs",RawMaterials[[#This Row],[Unit price in quote year]]/VLOOKUP(RawMaterials[[#This Row],[Quote Year]],ChemPPI[],14,FALSE)*VLOOKUP(BasisYear,ChemPPI[],14,FALSE))</f>
        <v>0.6370730707757879</v>
      </c>
      <c r="AM356" s="373" t="str">
        <f t="shared" si="5"/>
        <v>$/lb (2016)</v>
      </c>
    </row>
    <row r="357" spans="1:39">
      <c r="A357" s="263" t="s">
        <v>1457</v>
      </c>
      <c r="B357" s="264"/>
      <c r="C357" s="271"/>
      <c r="D357" s="365"/>
      <c r="E357" s="264">
        <v>100</v>
      </c>
      <c r="F357" s="264"/>
      <c r="G357" s="271"/>
      <c r="H357" s="271"/>
      <c r="I357" s="268"/>
      <c r="J357" s="271"/>
      <c r="K357" s="271"/>
      <c r="L357" s="271"/>
      <c r="M357" s="271"/>
      <c r="N357" s="271"/>
      <c r="O357" s="271"/>
      <c r="P357" s="265">
        <v>0.67500000000000004</v>
      </c>
      <c r="Q357" s="264">
        <v>1</v>
      </c>
      <c r="R357" s="264" t="s">
        <v>20</v>
      </c>
      <c r="S357" s="264">
        <v>2008</v>
      </c>
      <c r="T357" s="266" t="s">
        <v>163</v>
      </c>
      <c r="U357" s="267">
        <v>42653</v>
      </c>
      <c r="V357" s="269"/>
      <c r="W357" s="366">
        <f>COUNT(RawMaterials[[#This Row],[Lab Quantity 1]:[Lab Quantity 4]])</f>
        <v>0</v>
      </c>
      <c r="X3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7" s="367" t="e">
        <f>RawMaterials[[#This Row],[Lab Price 1]]/RawMaterials[[#This Row],[Lab Q Model Units 1]]</f>
        <v>#N/A</v>
      </c>
      <c r="AC357" s="367" t="e">
        <f>RawMaterials[[#This Row],[Lab Price 2]]/RawMaterials[[#This Row],[Lab Q Model Units 2]]</f>
        <v>#N/A</v>
      </c>
      <c r="AD357" s="367" t="e">
        <f>RawMaterials[[#This Row],[Lab Price 3]]/RawMaterials[[#This Row],[Lab Q Model Units 3]]</f>
        <v>#N/A</v>
      </c>
      <c r="AE357" s="367" t="e">
        <f>RawMaterials[[#This Row],[Lab Price 4]]/RawMaterials[[#This Row],[Lab Q Model Units 4]]</f>
        <v>#N/A</v>
      </c>
      <c r="AF357" s="367" t="str">
        <f ca="1">IF(RawMaterials[[#This Row],[Lab Quote Count]]&gt;1,SLOPE(LOG(INDIRECT("RawMaterials[@[Lab Unit P 1]:[Lab Unit P "&amp;RawMaterials[[#This Row],[Lab Quote Count]]&amp;"]]")),LOG(INDIRECT("RawMaterials[@[Lab Q Model Units 1]:[Lab Q Model Units "&amp;RawMaterials[[#This Row],[Lab Quote Count]]&amp;"]]"))),"")</f>
        <v/>
      </c>
      <c r="AG357" s="367" t="str">
        <f ca="1">IF(RawMaterials[[#This Row],[Lab Quote Count]]&gt;1,INTERCEPT(LOG(INDIRECT("RawMaterials[@[Lab Unit P 1]:[Lab Unit P "&amp;RawMaterials[[#This Row],[Lab Quote Count]]&amp;"]]")),LOG(INDIRECT("RawMaterials[@[Lab Q Model Units 1]:[Lab Q Model Units "&amp;RawMaterials[[#This Row],[Lab Quote Count]]&amp;"]]"))),"")</f>
        <v/>
      </c>
      <c r="AH357" s="368" t="str">
        <f>IF(RawMaterials[[#This Row],[Material Type]]="Metal Precursor","D13",IF(RawMaterials[[#This Row],[Material Type]]="Ligand","D13","D12"))</f>
        <v>D12</v>
      </c>
      <c r="AI357" s="369" t="str">
        <f ca="1">IF(RawMaterials[[#This Row],[Lab Quote Count]]&gt;1,10^RawMaterials[[#This Row],[Lab Log-Log Intercept]]*INDIRECT(RawMaterials[[#This Row],[Basis Cell]])^RawMaterials[[#This Row],[Lab Log-Log Slope]],"&gt;&gt;&gt; Enter 2 or more lab quotes &lt;&lt;&lt;")</f>
        <v>&gt;&gt;&gt; Enter 2 or more lab quotes &lt;&lt;&lt;</v>
      </c>
      <c r="AJ3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357" s="372">
        <f>IF(ISTEXT(RawMaterials[[#This Row],[Unit price in quote year]]),"Check calcs",RawMaterials[[#This Row],[Unit price in quote year]]/VLOOKUP(RawMaterials[[#This Row],[Quote Year]],ChemPPI[],14,FALSE)*VLOOKUP(BasisYear,ChemPPI[],14,FALSE))</f>
        <v>0.79003469052400965</v>
      </c>
      <c r="AM357" s="373" t="str">
        <f t="shared" si="5"/>
        <v>$/lb (2016)</v>
      </c>
    </row>
    <row r="358" spans="1:39">
      <c r="A358" s="263" t="s">
        <v>1458</v>
      </c>
      <c r="B358" s="264"/>
      <c r="C358" s="271"/>
      <c r="D358" s="365"/>
      <c r="E358" s="264">
        <v>100</v>
      </c>
      <c r="F358" s="264"/>
      <c r="G358" s="271"/>
      <c r="H358" s="271"/>
      <c r="I358" s="268"/>
      <c r="J358" s="271"/>
      <c r="K358" s="271"/>
      <c r="L358" s="271"/>
      <c r="M358" s="271"/>
      <c r="N358" s="271"/>
      <c r="O358" s="271"/>
      <c r="P358" s="265">
        <v>0.57999999999999996</v>
      </c>
      <c r="Q358" s="264">
        <v>1</v>
      </c>
      <c r="R358" s="264" t="s">
        <v>20</v>
      </c>
      <c r="S358" s="264">
        <v>2008</v>
      </c>
      <c r="T358" s="266" t="s">
        <v>163</v>
      </c>
      <c r="U358" s="267">
        <v>42653</v>
      </c>
      <c r="V358" s="269"/>
      <c r="W358" s="366">
        <f>COUNT(RawMaterials[[#This Row],[Lab Quantity 1]:[Lab Quantity 4]])</f>
        <v>0</v>
      </c>
      <c r="X3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8" s="367" t="e">
        <f>RawMaterials[[#This Row],[Lab Price 1]]/RawMaterials[[#This Row],[Lab Q Model Units 1]]</f>
        <v>#N/A</v>
      </c>
      <c r="AC358" s="367" t="e">
        <f>RawMaterials[[#This Row],[Lab Price 2]]/RawMaterials[[#This Row],[Lab Q Model Units 2]]</f>
        <v>#N/A</v>
      </c>
      <c r="AD358" s="367" t="e">
        <f>RawMaterials[[#This Row],[Lab Price 3]]/RawMaterials[[#This Row],[Lab Q Model Units 3]]</f>
        <v>#N/A</v>
      </c>
      <c r="AE358" s="367" t="e">
        <f>RawMaterials[[#This Row],[Lab Price 4]]/RawMaterials[[#This Row],[Lab Q Model Units 4]]</f>
        <v>#N/A</v>
      </c>
      <c r="AF358" s="367" t="str">
        <f ca="1">IF(RawMaterials[[#This Row],[Lab Quote Count]]&gt;1,SLOPE(LOG(INDIRECT("RawMaterials[@[Lab Unit P 1]:[Lab Unit P "&amp;RawMaterials[[#This Row],[Lab Quote Count]]&amp;"]]")),LOG(INDIRECT("RawMaterials[@[Lab Q Model Units 1]:[Lab Q Model Units "&amp;RawMaterials[[#This Row],[Lab Quote Count]]&amp;"]]"))),"")</f>
        <v/>
      </c>
      <c r="AG358" s="367" t="str">
        <f ca="1">IF(RawMaterials[[#This Row],[Lab Quote Count]]&gt;1,INTERCEPT(LOG(INDIRECT("RawMaterials[@[Lab Unit P 1]:[Lab Unit P "&amp;RawMaterials[[#This Row],[Lab Quote Count]]&amp;"]]")),LOG(INDIRECT("RawMaterials[@[Lab Q Model Units 1]:[Lab Q Model Units "&amp;RawMaterials[[#This Row],[Lab Quote Count]]&amp;"]]"))),"")</f>
        <v/>
      </c>
      <c r="AH358" s="368" t="str">
        <f>IF(RawMaterials[[#This Row],[Material Type]]="Metal Precursor","D13",IF(RawMaterials[[#This Row],[Material Type]]="Ligand","D13","D12"))</f>
        <v>D12</v>
      </c>
      <c r="AI358" s="369" t="str">
        <f ca="1">IF(RawMaterials[[#This Row],[Lab Quote Count]]&gt;1,10^RawMaterials[[#This Row],[Lab Log-Log Intercept]]*INDIRECT(RawMaterials[[#This Row],[Basis Cell]])^RawMaterials[[#This Row],[Lab Log-Log Slope]],"&gt;&gt;&gt; Enter 2 or more lab quotes &lt;&lt;&lt;")</f>
        <v>&gt;&gt;&gt; Enter 2 or more lab quotes &lt;&lt;&lt;</v>
      </c>
      <c r="AJ3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0.57999999999999996</v>
      </c>
      <c r="AL358" s="372">
        <f>IF(ISTEXT(RawMaterials[[#This Row],[Unit price in quote year]]),"Check calcs",RawMaterials[[#This Row],[Unit price in quote year]]/VLOOKUP(RawMaterials[[#This Row],[Quote Year]],ChemPPI[],14,FALSE)*VLOOKUP(BasisYear,ChemPPI[],14,FALSE))</f>
        <v>0.67884462296877845</v>
      </c>
      <c r="AM358" s="373" t="str">
        <f t="shared" si="5"/>
        <v>$/lb (2016)</v>
      </c>
    </row>
    <row r="359" spans="1:39">
      <c r="A359" s="377" t="s">
        <v>185</v>
      </c>
      <c r="B359" s="379"/>
      <c r="C359" s="383"/>
      <c r="D359" s="378"/>
      <c r="E359" s="379">
        <v>100</v>
      </c>
      <c r="F359" s="379"/>
      <c r="G359" s="383"/>
      <c r="H359" s="383"/>
      <c r="I359" s="380"/>
      <c r="J359" s="383"/>
      <c r="K359" s="383"/>
      <c r="L359" s="383"/>
      <c r="M359" s="383"/>
      <c r="N359" s="383"/>
      <c r="O359" s="383"/>
      <c r="P359" s="381">
        <v>975</v>
      </c>
      <c r="Q359" s="264">
        <v>1</v>
      </c>
      <c r="R359" s="379" t="s">
        <v>62</v>
      </c>
      <c r="S359" s="379">
        <v>2018</v>
      </c>
      <c r="T359" s="366" t="s">
        <v>1105</v>
      </c>
      <c r="U359" s="382">
        <v>43339</v>
      </c>
      <c r="V359" s="269" t="s">
        <v>1716</v>
      </c>
      <c r="W359" s="366">
        <f>COUNT(RawMaterials[[#This Row],[Lab Quantity 1]:[Lab Quantity 4]])</f>
        <v>0</v>
      </c>
      <c r="X3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59" s="367" t="e">
        <f>RawMaterials[[#This Row],[Lab Price 1]]/RawMaterials[[#This Row],[Lab Q Model Units 1]]</f>
        <v>#N/A</v>
      </c>
      <c r="AC359" s="367" t="e">
        <f>RawMaterials[[#This Row],[Lab Price 2]]/RawMaterials[[#This Row],[Lab Q Model Units 2]]</f>
        <v>#N/A</v>
      </c>
      <c r="AD359" s="367" t="e">
        <f>RawMaterials[[#This Row],[Lab Price 3]]/RawMaterials[[#This Row],[Lab Q Model Units 3]]</f>
        <v>#N/A</v>
      </c>
      <c r="AE359" s="367" t="e">
        <f>RawMaterials[[#This Row],[Lab Price 4]]/RawMaterials[[#This Row],[Lab Q Model Units 4]]</f>
        <v>#N/A</v>
      </c>
      <c r="AF359" s="367" t="str">
        <f ca="1">IF(RawMaterials[[#This Row],[Lab Quote Count]]&gt;1,SLOPE(LOG(INDIRECT("RawMaterials[@[Lab Unit P 1]:[Lab Unit P "&amp;RawMaterials[[#This Row],[Lab Quote Count]]&amp;"]]")),LOG(INDIRECT("RawMaterials[@[Lab Q Model Units 1]:[Lab Q Model Units "&amp;RawMaterials[[#This Row],[Lab Quote Count]]&amp;"]]"))),"")</f>
        <v/>
      </c>
      <c r="AG359" s="367" t="str">
        <f ca="1">IF(RawMaterials[[#This Row],[Lab Quote Count]]&gt;1,INTERCEPT(LOG(INDIRECT("RawMaterials[@[Lab Unit P 1]:[Lab Unit P "&amp;RawMaterials[[#This Row],[Lab Quote Count]]&amp;"]]")),LOG(INDIRECT("RawMaterials[@[Lab Q Model Units 1]:[Lab Q Model Units "&amp;RawMaterials[[#This Row],[Lab Quote Count]]&amp;"]]"))),"")</f>
        <v/>
      </c>
      <c r="AH359" s="368" t="str">
        <f>IF(RawMaterials[[#This Row],[Material Type]]="Metal Precursor","D13",IF(RawMaterials[[#This Row],[Material Type]]="Ligand","D13","D12"))</f>
        <v>D12</v>
      </c>
      <c r="AI359" s="369" t="str">
        <f ca="1">IF(RawMaterials[[#This Row],[Lab Quote Count]]&gt;1,10^RawMaterials[[#This Row],[Lab Log-Log Intercept]]*INDIRECT(RawMaterials[[#This Row],[Basis Cell]])^RawMaterials[[#This Row],[Lab Log-Log Slope]],"&gt;&gt;&gt; Enter 2 or more lab quotes &lt;&lt;&lt;")</f>
        <v>&gt;&gt;&gt; Enter 2 or more lab quotes &lt;&lt;&lt;</v>
      </c>
      <c r="AJ3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3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14218.750000000002</v>
      </c>
      <c r="AL359" s="372">
        <f>IF(ISTEXT(RawMaterials[[#This Row],[Unit price in quote year]]),"Check calcs",RawMaterials[[#This Row],[Unit price in quote year]]/VLOOKUP(RawMaterials[[#This Row],[Quote Year]],ChemPPI[],14,FALSE)*VLOOKUP(BasisYear,ChemPPI[],14,FALSE))</f>
        <v>13210.755965632394</v>
      </c>
      <c r="AM359" s="373" t="str">
        <f t="shared" si="5"/>
        <v>$/lb (2016)</v>
      </c>
    </row>
    <row r="360" spans="1:39">
      <c r="A360" s="263" t="s">
        <v>1459</v>
      </c>
      <c r="B360" s="264"/>
      <c r="C360" s="271"/>
      <c r="D360" s="365"/>
      <c r="E360" s="264">
        <v>100</v>
      </c>
      <c r="F360" s="264"/>
      <c r="G360" s="271"/>
      <c r="H360" s="271"/>
      <c r="I360" s="268"/>
      <c r="J360" s="271"/>
      <c r="K360" s="271"/>
      <c r="L360" s="271"/>
      <c r="M360" s="271"/>
      <c r="N360" s="271"/>
      <c r="O360" s="271"/>
      <c r="P360" s="265">
        <v>0.48499999999999999</v>
      </c>
      <c r="Q360" s="264">
        <v>1</v>
      </c>
      <c r="R360" s="264" t="s">
        <v>20</v>
      </c>
      <c r="S360" s="264">
        <v>2006</v>
      </c>
      <c r="T360" s="266" t="s">
        <v>163</v>
      </c>
      <c r="U360" s="267">
        <v>42653</v>
      </c>
      <c r="V360" s="269"/>
      <c r="W360" s="366">
        <f>COUNT(RawMaterials[[#This Row],[Lab Quantity 1]:[Lab Quantity 4]])</f>
        <v>0</v>
      </c>
      <c r="X3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0" s="367" t="e">
        <f>RawMaterials[[#This Row],[Lab Price 1]]/RawMaterials[[#This Row],[Lab Q Model Units 1]]</f>
        <v>#N/A</v>
      </c>
      <c r="AC360" s="367" t="e">
        <f>RawMaterials[[#This Row],[Lab Price 2]]/RawMaterials[[#This Row],[Lab Q Model Units 2]]</f>
        <v>#N/A</v>
      </c>
      <c r="AD360" s="367" t="e">
        <f>RawMaterials[[#This Row],[Lab Price 3]]/RawMaterials[[#This Row],[Lab Q Model Units 3]]</f>
        <v>#N/A</v>
      </c>
      <c r="AE360" s="367" t="e">
        <f>RawMaterials[[#This Row],[Lab Price 4]]/RawMaterials[[#This Row],[Lab Q Model Units 4]]</f>
        <v>#N/A</v>
      </c>
      <c r="AF360" s="367" t="str">
        <f ca="1">IF(RawMaterials[[#This Row],[Lab Quote Count]]&gt;1,SLOPE(LOG(INDIRECT("RawMaterials[@[Lab Unit P 1]:[Lab Unit P "&amp;RawMaterials[[#This Row],[Lab Quote Count]]&amp;"]]")),LOG(INDIRECT("RawMaterials[@[Lab Q Model Units 1]:[Lab Q Model Units "&amp;RawMaterials[[#This Row],[Lab Quote Count]]&amp;"]]"))),"")</f>
        <v/>
      </c>
      <c r="AG360" s="367" t="str">
        <f ca="1">IF(RawMaterials[[#This Row],[Lab Quote Count]]&gt;1,INTERCEPT(LOG(INDIRECT("RawMaterials[@[Lab Unit P 1]:[Lab Unit P "&amp;RawMaterials[[#This Row],[Lab Quote Count]]&amp;"]]")),LOG(INDIRECT("RawMaterials[@[Lab Q Model Units 1]:[Lab Q Model Units "&amp;RawMaterials[[#This Row],[Lab Quote Count]]&amp;"]]"))),"")</f>
        <v/>
      </c>
      <c r="AH360" s="368" t="str">
        <f>IF(RawMaterials[[#This Row],[Material Type]]="Metal Precursor","D13",IF(RawMaterials[[#This Row],[Material Type]]="Ligand","D13","D12"))</f>
        <v>D12</v>
      </c>
      <c r="AI360" s="369" t="str">
        <f ca="1">IF(RawMaterials[[#This Row],[Lab Quote Count]]&gt;1,10^RawMaterials[[#This Row],[Lab Log-Log Intercept]]*INDIRECT(RawMaterials[[#This Row],[Basis Cell]])^RawMaterials[[#This Row],[Lab Log-Log Slope]],"&gt;&gt;&gt; Enter 2 or more lab quotes &lt;&lt;&lt;")</f>
        <v>&gt;&gt;&gt; Enter 2 or more lab quotes &lt;&lt;&lt;</v>
      </c>
      <c r="AJ3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0.48499999999999999</v>
      </c>
      <c r="AL360" s="372">
        <f>IF(ISTEXT(RawMaterials[[#This Row],[Unit price in quote year]]),"Check calcs",RawMaterials[[#This Row],[Unit price in quote year]]/VLOOKUP(RawMaterials[[#This Row],[Quote Year]],ChemPPI[],14,FALSE)*VLOOKUP(BasisYear,ChemPPI[],14,FALSE))</f>
        <v>0.65824949186991888</v>
      </c>
      <c r="AM360" s="373" t="str">
        <f t="shared" si="5"/>
        <v>$/lb (2016)</v>
      </c>
    </row>
    <row r="361" spans="1:39">
      <c r="A361" s="263" t="s">
        <v>1460</v>
      </c>
      <c r="B361" s="264"/>
      <c r="C361" s="271"/>
      <c r="D361" s="365"/>
      <c r="E361" s="264">
        <v>100</v>
      </c>
      <c r="F361" s="264"/>
      <c r="G361" s="271"/>
      <c r="H361" s="271"/>
      <c r="I361" s="268"/>
      <c r="J361" s="271"/>
      <c r="K361" s="271"/>
      <c r="L361" s="271"/>
      <c r="M361" s="271"/>
      <c r="N361" s="271"/>
      <c r="O361" s="271"/>
      <c r="P361" s="265">
        <v>0.5</v>
      </c>
      <c r="Q361" s="264">
        <v>1</v>
      </c>
      <c r="R361" s="264" t="s">
        <v>20</v>
      </c>
      <c r="S361" s="264">
        <v>2006</v>
      </c>
      <c r="T361" s="266" t="s">
        <v>163</v>
      </c>
      <c r="U361" s="267">
        <v>42653</v>
      </c>
      <c r="V361" s="269"/>
      <c r="W361" s="366">
        <f>COUNT(RawMaterials[[#This Row],[Lab Quantity 1]:[Lab Quantity 4]])</f>
        <v>0</v>
      </c>
      <c r="X3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1" s="367" t="e">
        <f>RawMaterials[[#This Row],[Lab Price 1]]/RawMaterials[[#This Row],[Lab Q Model Units 1]]</f>
        <v>#N/A</v>
      </c>
      <c r="AC361" s="367" t="e">
        <f>RawMaterials[[#This Row],[Lab Price 2]]/RawMaterials[[#This Row],[Lab Q Model Units 2]]</f>
        <v>#N/A</v>
      </c>
      <c r="AD361" s="367" t="e">
        <f>RawMaterials[[#This Row],[Lab Price 3]]/RawMaterials[[#This Row],[Lab Q Model Units 3]]</f>
        <v>#N/A</v>
      </c>
      <c r="AE361" s="367" t="e">
        <f>RawMaterials[[#This Row],[Lab Price 4]]/RawMaterials[[#This Row],[Lab Q Model Units 4]]</f>
        <v>#N/A</v>
      </c>
      <c r="AF361" s="367" t="str">
        <f ca="1">IF(RawMaterials[[#This Row],[Lab Quote Count]]&gt;1,SLOPE(LOG(INDIRECT("RawMaterials[@[Lab Unit P 1]:[Lab Unit P "&amp;RawMaterials[[#This Row],[Lab Quote Count]]&amp;"]]")),LOG(INDIRECT("RawMaterials[@[Lab Q Model Units 1]:[Lab Q Model Units "&amp;RawMaterials[[#This Row],[Lab Quote Count]]&amp;"]]"))),"")</f>
        <v/>
      </c>
      <c r="AG361" s="367" t="str">
        <f ca="1">IF(RawMaterials[[#This Row],[Lab Quote Count]]&gt;1,INTERCEPT(LOG(INDIRECT("RawMaterials[@[Lab Unit P 1]:[Lab Unit P "&amp;RawMaterials[[#This Row],[Lab Quote Count]]&amp;"]]")),LOG(INDIRECT("RawMaterials[@[Lab Q Model Units 1]:[Lab Q Model Units "&amp;RawMaterials[[#This Row],[Lab Quote Count]]&amp;"]]"))),"")</f>
        <v/>
      </c>
      <c r="AH361" s="368" t="str">
        <f>IF(RawMaterials[[#This Row],[Material Type]]="Metal Precursor","D13",IF(RawMaterials[[#This Row],[Material Type]]="Ligand","D13","D12"))</f>
        <v>D12</v>
      </c>
      <c r="AI361" s="369" t="str">
        <f ca="1">IF(RawMaterials[[#This Row],[Lab Quote Count]]&gt;1,10^RawMaterials[[#This Row],[Lab Log-Log Intercept]]*INDIRECT(RawMaterials[[#This Row],[Basis Cell]])^RawMaterials[[#This Row],[Lab Log-Log Slope]],"&gt;&gt;&gt; Enter 2 or more lab quotes &lt;&lt;&lt;")</f>
        <v>&gt;&gt;&gt; Enter 2 or more lab quotes &lt;&lt;&lt;</v>
      </c>
      <c r="AJ3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v>
      </c>
      <c r="AL361" s="372">
        <f>IF(ISTEXT(RawMaterials[[#This Row],[Unit price in quote year]]),"Check calcs",RawMaterials[[#This Row],[Unit price in quote year]]/VLOOKUP(RawMaterials[[#This Row],[Quote Year]],ChemPPI[],14,FALSE)*VLOOKUP(BasisYear,ChemPPI[],14,FALSE))</f>
        <v>0.67860772357723598</v>
      </c>
      <c r="AM361" s="373" t="str">
        <f t="shared" si="5"/>
        <v>$/lb (2016)</v>
      </c>
    </row>
    <row r="362" spans="1:39">
      <c r="A362" s="263" t="s">
        <v>1461</v>
      </c>
      <c r="B362" s="264"/>
      <c r="C362" s="271"/>
      <c r="D362" s="365"/>
      <c r="E362" s="264">
        <v>100</v>
      </c>
      <c r="F362" s="264"/>
      <c r="G362" s="271"/>
      <c r="H362" s="271"/>
      <c r="I362" s="268"/>
      <c r="J362" s="271"/>
      <c r="K362" s="271"/>
      <c r="L362" s="271"/>
      <c r="M362" s="271"/>
      <c r="N362" s="271"/>
      <c r="O362" s="271"/>
      <c r="P362" s="265">
        <v>0.66500000000000004</v>
      </c>
      <c r="Q362" s="264">
        <v>1</v>
      </c>
      <c r="R362" s="264" t="s">
        <v>20</v>
      </c>
      <c r="S362" s="264">
        <v>2008</v>
      </c>
      <c r="T362" s="266" t="s">
        <v>163</v>
      </c>
      <c r="U362" s="267">
        <v>42653</v>
      </c>
      <c r="V362" s="269"/>
      <c r="W362" s="366">
        <f>COUNT(RawMaterials[[#This Row],[Lab Quantity 1]:[Lab Quantity 4]])</f>
        <v>0</v>
      </c>
      <c r="X3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2" s="367" t="e">
        <f>RawMaterials[[#This Row],[Lab Price 1]]/RawMaterials[[#This Row],[Lab Q Model Units 1]]</f>
        <v>#N/A</v>
      </c>
      <c r="AC362" s="367" t="e">
        <f>RawMaterials[[#This Row],[Lab Price 2]]/RawMaterials[[#This Row],[Lab Q Model Units 2]]</f>
        <v>#N/A</v>
      </c>
      <c r="AD362" s="367" t="e">
        <f>RawMaterials[[#This Row],[Lab Price 3]]/RawMaterials[[#This Row],[Lab Q Model Units 3]]</f>
        <v>#N/A</v>
      </c>
      <c r="AE362" s="367" t="e">
        <f>RawMaterials[[#This Row],[Lab Price 4]]/RawMaterials[[#This Row],[Lab Q Model Units 4]]</f>
        <v>#N/A</v>
      </c>
      <c r="AF362" s="367" t="str">
        <f ca="1">IF(RawMaterials[[#This Row],[Lab Quote Count]]&gt;1,SLOPE(LOG(INDIRECT("RawMaterials[@[Lab Unit P 1]:[Lab Unit P "&amp;RawMaterials[[#This Row],[Lab Quote Count]]&amp;"]]")),LOG(INDIRECT("RawMaterials[@[Lab Q Model Units 1]:[Lab Q Model Units "&amp;RawMaterials[[#This Row],[Lab Quote Count]]&amp;"]]"))),"")</f>
        <v/>
      </c>
      <c r="AG362" s="367" t="str">
        <f ca="1">IF(RawMaterials[[#This Row],[Lab Quote Count]]&gt;1,INTERCEPT(LOG(INDIRECT("RawMaterials[@[Lab Unit P 1]:[Lab Unit P "&amp;RawMaterials[[#This Row],[Lab Quote Count]]&amp;"]]")),LOG(INDIRECT("RawMaterials[@[Lab Q Model Units 1]:[Lab Q Model Units "&amp;RawMaterials[[#This Row],[Lab Quote Count]]&amp;"]]"))),"")</f>
        <v/>
      </c>
      <c r="AH362" s="368" t="str">
        <f>IF(RawMaterials[[#This Row],[Material Type]]="Metal Precursor","D13",IF(RawMaterials[[#This Row],[Material Type]]="Ligand","D13","D12"))</f>
        <v>D12</v>
      </c>
      <c r="AI362" s="369" t="str">
        <f ca="1">IF(RawMaterials[[#This Row],[Lab Quote Count]]&gt;1,10^RawMaterials[[#This Row],[Lab Log-Log Intercept]]*INDIRECT(RawMaterials[[#This Row],[Basis Cell]])^RawMaterials[[#This Row],[Lab Log-Log Slope]],"&gt;&gt;&gt; Enter 2 or more lab quotes &lt;&lt;&lt;")</f>
        <v>&gt;&gt;&gt; Enter 2 or more lab quotes &lt;&lt;&lt;</v>
      </c>
      <c r="AJ3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362" s="372">
        <f>IF(ISTEXT(RawMaterials[[#This Row],[Unit price in quote year]]),"Check calcs",RawMaterials[[#This Row],[Unit price in quote year]]/VLOOKUP(RawMaterials[[#This Row],[Quote Year]],ChemPPI[],14,FALSE)*VLOOKUP(BasisYear,ChemPPI[],14,FALSE))</f>
        <v>0.77833047288661683</v>
      </c>
      <c r="AM362" s="373" t="str">
        <f t="shared" si="5"/>
        <v>$/lb (2016)</v>
      </c>
    </row>
    <row r="363" spans="1:39">
      <c r="A363" s="263" t="s">
        <v>1462</v>
      </c>
      <c r="B363" s="264"/>
      <c r="C363" s="271"/>
      <c r="D363" s="365"/>
      <c r="E363" s="264">
        <v>100</v>
      </c>
      <c r="F363" s="264"/>
      <c r="G363" s="271"/>
      <c r="H363" s="271"/>
      <c r="I363" s="268"/>
      <c r="J363" s="271"/>
      <c r="K363" s="271"/>
      <c r="L363" s="271"/>
      <c r="M363" s="271"/>
      <c r="N363" s="271"/>
      <c r="O363" s="271"/>
      <c r="P363" s="265">
        <v>0.51500000000000001</v>
      </c>
      <c r="Q363" s="264">
        <v>1</v>
      </c>
      <c r="R363" s="264" t="s">
        <v>20</v>
      </c>
      <c r="S363" s="264">
        <v>2008</v>
      </c>
      <c r="T363" s="266" t="s">
        <v>163</v>
      </c>
      <c r="U363" s="267">
        <v>42653</v>
      </c>
      <c r="V363" s="269"/>
      <c r="W363" s="366">
        <f>COUNT(RawMaterials[[#This Row],[Lab Quantity 1]:[Lab Quantity 4]])</f>
        <v>0</v>
      </c>
      <c r="X3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3" s="367" t="e">
        <f>RawMaterials[[#This Row],[Lab Price 1]]/RawMaterials[[#This Row],[Lab Q Model Units 1]]</f>
        <v>#N/A</v>
      </c>
      <c r="AC363" s="367" t="e">
        <f>RawMaterials[[#This Row],[Lab Price 2]]/RawMaterials[[#This Row],[Lab Q Model Units 2]]</f>
        <v>#N/A</v>
      </c>
      <c r="AD363" s="367" t="e">
        <f>RawMaterials[[#This Row],[Lab Price 3]]/RawMaterials[[#This Row],[Lab Q Model Units 3]]</f>
        <v>#N/A</v>
      </c>
      <c r="AE363" s="367" t="e">
        <f>RawMaterials[[#This Row],[Lab Price 4]]/RawMaterials[[#This Row],[Lab Q Model Units 4]]</f>
        <v>#N/A</v>
      </c>
      <c r="AF363" s="367" t="str">
        <f ca="1">IF(RawMaterials[[#This Row],[Lab Quote Count]]&gt;1,SLOPE(LOG(INDIRECT("RawMaterials[@[Lab Unit P 1]:[Lab Unit P "&amp;RawMaterials[[#This Row],[Lab Quote Count]]&amp;"]]")),LOG(INDIRECT("RawMaterials[@[Lab Q Model Units 1]:[Lab Q Model Units "&amp;RawMaterials[[#This Row],[Lab Quote Count]]&amp;"]]"))),"")</f>
        <v/>
      </c>
      <c r="AG363" s="367" t="str">
        <f ca="1">IF(RawMaterials[[#This Row],[Lab Quote Count]]&gt;1,INTERCEPT(LOG(INDIRECT("RawMaterials[@[Lab Unit P 1]:[Lab Unit P "&amp;RawMaterials[[#This Row],[Lab Quote Count]]&amp;"]]")),LOG(INDIRECT("RawMaterials[@[Lab Q Model Units 1]:[Lab Q Model Units "&amp;RawMaterials[[#This Row],[Lab Quote Count]]&amp;"]]"))),"")</f>
        <v/>
      </c>
      <c r="AH363" s="368" t="str">
        <f>IF(RawMaterials[[#This Row],[Material Type]]="Metal Precursor","D13",IF(RawMaterials[[#This Row],[Material Type]]="Ligand","D13","D12"))</f>
        <v>D12</v>
      </c>
      <c r="AI363" s="369" t="str">
        <f ca="1">IF(RawMaterials[[#This Row],[Lab Quote Count]]&gt;1,10^RawMaterials[[#This Row],[Lab Log-Log Intercept]]*INDIRECT(RawMaterials[[#This Row],[Basis Cell]])^RawMaterials[[#This Row],[Lab Log-Log Slope]],"&gt;&gt;&gt; Enter 2 or more lab quotes &lt;&lt;&lt;")</f>
        <v>&gt;&gt;&gt; Enter 2 or more lab quotes &lt;&lt;&lt;</v>
      </c>
      <c r="AJ3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0.51500000000000001</v>
      </c>
      <c r="AL363" s="372">
        <f>IF(ISTEXT(RawMaterials[[#This Row],[Unit price in quote year]]),"Check calcs",RawMaterials[[#This Row],[Unit price in quote year]]/VLOOKUP(RawMaterials[[#This Row],[Quote Year]],ChemPPI[],14,FALSE)*VLOOKUP(BasisYear,ChemPPI[],14,FALSE))</f>
        <v>0.60276720832572572</v>
      </c>
      <c r="AM363" s="373" t="str">
        <f t="shared" si="5"/>
        <v>$/lb (2016)</v>
      </c>
    </row>
    <row r="364" spans="1:39">
      <c r="A364" s="263" t="s">
        <v>1463</v>
      </c>
      <c r="B364" s="264"/>
      <c r="C364" s="271"/>
      <c r="D364" s="365"/>
      <c r="E364" s="264">
        <v>100</v>
      </c>
      <c r="F364" s="264"/>
      <c r="G364" s="271"/>
      <c r="H364" s="271"/>
      <c r="I364" s="268"/>
      <c r="J364" s="271"/>
      <c r="K364" s="271"/>
      <c r="L364" s="271"/>
      <c r="M364" s="271"/>
      <c r="N364" s="271"/>
      <c r="O364" s="271"/>
      <c r="P364" s="265">
        <v>0.67</v>
      </c>
      <c r="Q364" s="264">
        <v>1</v>
      </c>
      <c r="R364" s="264" t="s">
        <v>20</v>
      </c>
      <c r="S364" s="264">
        <v>2007</v>
      </c>
      <c r="T364" s="266" t="s">
        <v>163</v>
      </c>
      <c r="U364" s="267">
        <v>42653</v>
      </c>
      <c r="V364" s="269"/>
      <c r="W364" s="366">
        <f>COUNT(RawMaterials[[#This Row],[Lab Quantity 1]:[Lab Quantity 4]])</f>
        <v>0</v>
      </c>
      <c r="X3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4" s="367" t="e">
        <f>RawMaterials[[#This Row],[Lab Price 1]]/RawMaterials[[#This Row],[Lab Q Model Units 1]]</f>
        <v>#N/A</v>
      </c>
      <c r="AC364" s="367" t="e">
        <f>RawMaterials[[#This Row],[Lab Price 2]]/RawMaterials[[#This Row],[Lab Q Model Units 2]]</f>
        <v>#N/A</v>
      </c>
      <c r="AD364" s="367" t="e">
        <f>RawMaterials[[#This Row],[Lab Price 3]]/RawMaterials[[#This Row],[Lab Q Model Units 3]]</f>
        <v>#N/A</v>
      </c>
      <c r="AE364" s="367" t="e">
        <f>RawMaterials[[#This Row],[Lab Price 4]]/RawMaterials[[#This Row],[Lab Q Model Units 4]]</f>
        <v>#N/A</v>
      </c>
      <c r="AF364" s="367" t="str">
        <f ca="1">IF(RawMaterials[[#This Row],[Lab Quote Count]]&gt;1,SLOPE(LOG(INDIRECT("RawMaterials[@[Lab Unit P 1]:[Lab Unit P "&amp;RawMaterials[[#This Row],[Lab Quote Count]]&amp;"]]")),LOG(INDIRECT("RawMaterials[@[Lab Q Model Units 1]:[Lab Q Model Units "&amp;RawMaterials[[#This Row],[Lab Quote Count]]&amp;"]]"))),"")</f>
        <v/>
      </c>
      <c r="AG364" s="367" t="str">
        <f ca="1">IF(RawMaterials[[#This Row],[Lab Quote Count]]&gt;1,INTERCEPT(LOG(INDIRECT("RawMaterials[@[Lab Unit P 1]:[Lab Unit P "&amp;RawMaterials[[#This Row],[Lab Quote Count]]&amp;"]]")),LOG(INDIRECT("RawMaterials[@[Lab Q Model Units 1]:[Lab Q Model Units "&amp;RawMaterials[[#This Row],[Lab Quote Count]]&amp;"]]"))),"")</f>
        <v/>
      </c>
      <c r="AH364" s="368" t="str">
        <f>IF(RawMaterials[[#This Row],[Material Type]]="Metal Precursor","D13",IF(RawMaterials[[#This Row],[Material Type]]="Ligand","D13","D12"))</f>
        <v>D12</v>
      </c>
      <c r="AI364" s="369" t="str">
        <f ca="1">IF(RawMaterials[[#This Row],[Lab Quote Count]]&gt;1,10^RawMaterials[[#This Row],[Lab Log-Log Intercept]]*INDIRECT(RawMaterials[[#This Row],[Basis Cell]])^RawMaterials[[#This Row],[Lab Log-Log Slope]],"&gt;&gt;&gt; Enter 2 or more lab quotes &lt;&lt;&lt;")</f>
        <v>&gt;&gt;&gt; Enter 2 or more lab quotes &lt;&lt;&lt;</v>
      </c>
      <c r="AJ3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64" s="372">
        <f>IF(ISTEXT(RawMaterials[[#This Row],[Unit price in quote year]]),"Check calcs",RawMaterials[[#This Row],[Unit price in quote year]]/VLOOKUP(RawMaterials[[#This Row],[Quote Year]],ChemPPI[],14,FALSE)*VLOOKUP(BasisYear,ChemPPI[],14,FALSE))</f>
        <v>0.88008032457686169</v>
      </c>
      <c r="AM364" s="373" t="str">
        <f t="shared" si="5"/>
        <v>$/lb (2016)</v>
      </c>
    </row>
    <row r="365" spans="1:39">
      <c r="A365" s="263" t="s">
        <v>1464</v>
      </c>
      <c r="B365" s="264"/>
      <c r="C365" s="271"/>
      <c r="D365" s="365"/>
      <c r="E365" s="264">
        <v>100</v>
      </c>
      <c r="F365" s="264"/>
      <c r="G365" s="271"/>
      <c r="H365" s="271"/>
      <c r="I365" s="268"/>
      <c r="J365" s="271"/>
      <c r="K365" s="271"/>
      <c r="L365" s="271"/>
      <c r="M365" s="271"/>
      <c r="N365" s="271"/>
      <c r="O365" s="271"/>
      <c r="P365" s="265">
        <v>0.78600000000000003</v>
      </c>
      <c r="Q365" s="264">
        <v>1</v>
      </c>
      <c r="R365" s="264" t="s">
        <v>20</v>
      </c>
      <c r="S365" s="264">
        <v>2006</v>
      </c>
      <c r="T365" s="266" t="s">
        <v>163</v>
      </c>
      <c r="U365" s="267">
        <v>42653</v>
      </c>
      <c r="V365" s="269"/>
      <c r="W365" s="366">
        <f>COUNT(RawMaterials[[#This Row],[Lab Quantity 1]:[Lab Quantity 4]])</f>
        <v>0</v>
      </c>
      <c r="X3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5" s="367" t="e">
        <f>RawMaterials[[#This Row],[Lab Price 1]]/RawMaterials[[#This Row],[Lab Q Model Units 1]]</f>
        <v>#N/A</v>
      </c>
      <c r="AC365" s="367" t="e">
        <f>RawMaterials[[#This Row],[Lab Price 2]]/RawMaterials[[#This Row],[Lab Q Model Units 2]]</f>
        <v>#N/A</v>
      </c>
      <c r="AD365" s="367" t="e">
        <f>RawMaterials[[#This Row],[Lab Price 3]]/RawMaterials[[#This Row],[Lab Q Model Units 3]]</f>
        <v>#N/A</v>
      </c>
      <c r="AE365" s="367" t="e">
        <f>RawMaterials[[#This Row],[Lab Price 4]]/RawMaterials[[#This Row],[Lab Q Model Units 4]]</f>
        <v>#N/A</v>
      </c>
      <c r="AF365" s="367" t="str">
        <f ca="1">IF(RawMaterials[[#This Row],[Lab Quote Count]]&gt;1,SLOPE(LOG(INDIRECT("RawMaterials[@[Lab Unit P 1]:[Lab Unit P "&amp;RawMaterials[[#This Row],[Lab Quote Count]]&amp;"]]")),LOG(INDIRECT("RawMaterials[@[Lab Q Model Units 1]:[Lab Q Model Units "&amp;RawMaterials[[#This Row],[Lab Quote Count]]&amp;"]]"))),"")</f>
        <v/>
      </c>
      <c r="AG365" s="367" t="str">
        <f ca="1">IF(RawMaterials[[#This Row],[Lab Quote Count]]&gt;1,INTERCEPT(LOG(INDIRECT("RawMaterials[@[Lab Unit P 1]:[Lab Unit P "&amp;RawMaterials[[#This Row],[Lab Quote Count]]&amp;"]]")),LOG(INDIRECT("RawMaterials[@[Lab Q Model Units 1]:[Lab Q Model Units "&amp;RawMaterials[[#This Row],[Lab Quote Count]]&amp;"]]"))),"")</f>
        <v/>
      </c>
      <c r="AH365" s="368" t="str">
        <f>IF(RawMaterials[[#This Row],[Material Type]]="Metal Precursor","D13",IF(RawMaterials[[#This Row],[Material Type]]="Ligand","D13","D12"))</f>
        <v>D12</v>
      </c>
      <c r="AI365" s="369" t="str">
        <f ca="1">IF(RawMaterials[[#This Row],[Lab Quote Count]]&gt;1,10^RawMaterials[[#This Row],[Lab Log-Log Intercept]]*INDIRECT(RawMaterials[[#This Row],[Basis Cell]])^RawMaterials[[#This Row],[Lab Log-Log Slope]],"&gt;&gt;&gt; Enter 2 or more lab quotes &lt;&lt;&lt;")</f>
        <v>&gt;&gt;&gt; Enter 2 or more lab quotes &lt;&lt;&lt;</v>
      </c>
      <c r="AJ3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0.78600000000000003</v>
      </c>
      <c r="AL365" s="372">
        <f>IF(ISTEXT(RawMaterials[[#This Row],[Unit price in quote year]]),"Check calcs",RawMaterials[[#This Row],[Unit price in quote year]]/VLOOKUP(RawMaterials[[#This Row],[Quote Year]],ChemPPI[],14,FALSE)*VLOOKUP(BasisYear,ChemPPI[],14,FALSE))</f>
        <v>1.0667713414634148</v>
      </c>
      <c r="AM365" s="373" t="str">
        <f t="shared" si="5"/>
        <v>$/lb (2016)</v>
      </c>
    </row>
    <row r="366" spans="1:39">
      <c r="A366" s="263" t="s">
        <v>1465</v>
      </c>
      <c r="B366" s="264"/>
      <c r="C366" s="271"/>
      <c r="D366" s="365"/>
      <c r="E366" s="264">
        <v>100</v>
      </c>
      <c r="F366" s="264"/>
      <c r="G366" s="271"/>
      <c r="H366" s="271"/>
      <c r="I366" s="268"/>
      <c r="J366" s="271"/>
      <c r="K366" s="271"/>
      <c r="L366" s="271"/>
      <c r="M366" s="271"/>
      <c r="N366" s="271"/>
      <c r="O366" s="271"/>
      <c r="P366" s="265">
        <v>97.5</v>
      </c>
      <c r="Q366" s="264">
        <v>1</v>
      </c>
      <c r="R366" s="264" t="s">
        <v>406</v>
      </c>
      <c r="S366" s="264">
        <v>2006</v>
      </c>
      <c r="T366" s="266" t="s">
        <v>163</v>
      </c>
      <c r="U366" s="267">
        <v>42653</v>
      </c>
      <c r="V366" s="269"/>
      <c r="W366" s="366">
        <f>COUNT(RawMaterials[[#This Row],[Lab Quantity 1]:[Lab Quantity 4]])</f>
        <v>0</v>
      </c>
      <c r="X3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6" s="367" t="e">
        <f>RawMaterials[[#This Row],[Lab Price 1]]/RawMaterials[[#This Row],[Lab Q Model Units 1]]</f>
        <v>#N/A</v>
      </c>
      <c r="AC366" s="367" t="e">
        <f>RawMaterials[[#This Row],[Lab Price 2]]/RawMaterials[[#This Row],[Lab Q Model Units 2]]</f>
        <v>#N/A</v>
      </c>
      <c r="AD366" s="367" t="e">
        <f>RawMaterials[[#This Row],[Lab Price 3]]/RawMaterials[[#This Row],[Lab Q Model Units 3]]</f>
        <v>#N/A</v>
      </c>
      <c r="AE366" s="367" t="e">
        <f>RawMaterials[[#This Row],[Lab Price 4]]/RawMaterials[[#This Row],[Lab Q Model Units 4]]</f>
        <v>#N/A</v>
      </c>
      <c r="AF366" s="367" t="str">
        <f ca="1">IF(RawMaterials[[#This Row],[Lab Quote Count]]&gt;1,SLOPE(LOG(INDIRECT("RawMaterials[@[Lab Unit P 1]:[Lab Unit P "&amp;RawMaterials[[#This Row],[Lab Quote Count]]&amp;"]]")),LOG(INDIRECT("RawMaterials[@[Lab Q Model Units 1]:[Lab Q Model Units "&amp;RawMaterials[[#This Row],[Lab Quote Count]]&amp;"]]"))),"")</f>
        <v/>
      </c>
      <c r="AG366" s="367" t="str">
        <f ca="1">IF(RawMaterials[[#This Row],[Lab Quote Count]]&gt;1,INTERCEPT(LOG(INDIRECT("RawMaterials[@[Lab Unit P 1]:[Lab Unit P "&amp;RawMaterials[[#This Row],[Lab Quote Count]]&amp;"]]")),LOG(INDIRECT("RawMaterials[@[Lab Q Model Units 1]:[Lab Q Model Units "&amp;RawMaterials[[#This Row],[Lab Quote Count]]&amp;"]]"))),"")</f>
        <v/>
      </c>
      <c r="AH366" s="368" t="str">
        <f>IF(RawMaterials[[#This Row],[Material Type]]="Metal Precursor","D13",IF(RawMaterials[[#This Row],[Material Type]]="Ligand","D13","D12"))</f>
        <v>D12</v>
      </c>
      <c r="AI366" s="369" t="str">
        <f ca="1">IF(RawMaterials[[#This Row],[Lab Quote Count]]&gt;1,10^RawMaterials[[#This Row],[Lab Log-Log Intercept]]*INDIRECT(RawMaterials[[#This Row],[Basis Cell]])^RawMaterials[[#This Row],[Lab Log-Log Slope]],"&gt;&gt;&gt; Enter 2 or more lab quotes &lt;&lt;&lt;")</f>
        <v>&gt;&gt;&gt; Enter 2 or more lab quotes &lt;&lt;&lt;</v>
      </c>
      <c r="AJ3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4.8750000000000002E-2</v>
      </c>
      <c r="AL366" s="372">
        <f>IF(ISTEXT(RawMaterials[[#This Row],[Unit price in quote year]]),"Check calcs",RawMaterials[[#This Row],[Unit price in quote year]]/VLOOKUP(RawMaterials[[#This Row],[Quote Year]],ChemPPI[],14,FALSE)*VLOOKUP(BasisYear,ChemPPI[],14,FALSE))</f>
        <v>6.61642530487805E-2</v>
      </c>
      <c r="AM366" s="373" t="str">
        <f t="shared" si="5"/>
        <v>$/lb (2016)</v>
      </c>
    </row>
    <row r="367" spans="1:39">
      <c r="A367" s="263" t="s">
        <v>1466</v>
      </c>
      <c r="B367" s="264"/>
      <c r="C367" s="271"/>
      <c r="D367" s="365"/>
      <c r="E367" s="264">
        <v>100</v>
      </c>
      <c r="F367" s="264"/>
      <c r="G367" s="271"/>
      <c r="H367" s="271"/>
      <c r="I367" s="268"/>
      <c r="J367" s="271"/>
      <c r="K367" s="271"/>
      <c r="L367" s="271"/>
      <c r="M367" s="271"/>
      <c r="N367" s="271"/>
      <c r="O367" s="271"/>
      <c r="P367" s="265">
        <v>5</v>
      </c>
      <c r="Q367" s="264">
        <v>1</v>
      </c>
      <c r="R367" s="264" t="s">
        <v>20</v>
      </c>
      <c r="S367" s="264">
        <v>2006</v>
      </c>
      <c r="T367" s="266" t="s">
        <v>163</v>
      </c>
      <c r="U367" s="267">
        <v>42653</v>
      </c>
      <c r="V367" s="269"/>
      <c r="W367" s="366">
        <f>COUNT(RawMaterials[[#This Row],[Lab Quantity 1]:[Lab Quantity 4]])</f>
        <v>0</v>
      </c>
      <c r="X3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7" s="367" t="e">
        <f>RawMaterials[[#This Row],[Lab Price 1]]/RawMaterials[[#This Row],[Lab Q Model Units 1]]</f>
        <v>#N/A</v>
      </c>
      <c r="AC367" s="367" t="e">
        <f>RawMaterials[[#This Row],[Lab Price 2]]/RawMaterials[[#This Row],[Lab Q Model Units 2]]</f>
        <v>#N/A</v>
      </c>
      <c r="AD367" s="367" t="e">
        <f>RawMaterials[[#This Row],[Lab Price 3]]/RawMaterials[[#This Row],[Lab Q Model Units 3]]</f>
        <v>#N/A</v>
      </c>
      <c r="AE367" s="367" t="e">
        <f>RawMaterials[[#This Row],[Lab Price 4]]/RawMaterials[[#This Row],[Lab Q Model Units 4]]</f>
        <v>#N/A</v>
      </c>
      <c r="AF367" s="367" t="str">
        <f ca="1">IF(RawMaterials[[#This Row],[Lab Quote Count]]&gt;1,SLOPE(LOG(INDIRECT("RawMaterials[@[Lab Unit P 1]:[Lab Unit P "&amp;RawMaterials[[#This Row],[Lab Quote Count]]&amp;"]]")),LOG(INDIRECT("RawMaterials[@[Lab Q Model Units 1]:[Lab Q Model Units "&amp;RawMaterials[[#This Row],[Lab Quote Count]]&amp;"]]"))),"")</f>
        <v/>
      </c>
      <c r="AG367" s="367" t="str">
        <f ca="1">IF(RawMaterials[[#This Row],[Lab Quote Count]]&gt;1,INTERCEPT(LOG(INDIRECT("RawMaterials[@[Lab Unit P 1]:[Lab Unit P "&amp;RawMaterials[[#This Row],[Lab Quote Count]]&amp;"]]")),LOG(INDIRECT("RawMaterials[@[Lab Q Model Units 1]:[Lab Q Model Units "&amp;RawMaterials[[#This Row],[Lab Quote Count]]&amp;"]]"))),"")</f>
        <v/>
      </c>
      <c r="AH367" s="368" t="str">
        <f>IF(RawMaterials[[#This Row],[Material Type]]="Metal Precursor","D13",IF(RawMaterials[[#This Row],[Material Type]]="Ligand","D13","D12"))</f>
        <v>D12</v>
      </c>
      <c r="AI367" s="369" t="str">
        <f ca="1">IF(RawMaterials[[#This Row],[Lab Quote Count]]&gt;1,10^RawMaterials[[#This Row],[Lab Log-Log Intercept]]*INDIRECT(RawMaterials[[#This Row],[Basis Cell]])^RawMaterials[[#This Row],[Lab Log-Log Slope]],"&gt;&gt;&gt; Enter 2 or more lab quotes &lt;&lt;&lt;")</f>
        <v>&gt;&gt;&gt; Enter 2 or more lab quotes &lt;&lt;&lt;</v>
      </c>
      <c r="AJ3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367" s="372">
        <f>IF(ISTEXT(RawMaterials[[#This Row],[Unit price in quote year]]),"Check calcs",RawMaterials[[#This Row],[Unit price in quote year]]/VLOOKUP(RawMaterials[[#This Row],[Quote Year]],ChemPPI[],14,FALSE)*VLOOKUP(BasisYear,ChemPPI[],14,FALSE))</f>
        <v>6.7860772357723587</v>
      </c>
      <c r="AM367" s="373" t="str">
        <f t="shared" si="5"/>
        <v>$/lb (2016)</v>
      </c>
    </row>
    <row r="368" spans="1:39">
      <c r="A368" s="263" t="s">
        <v>1467</v>
      </c>
      <c r="B368" s="264"/>
      <c r="C368" s="271"/>
      <c r="D368" s="365"/>
      <c r="E368" s="264">
        <v>100</v>
      </c>
      <c r="F368" s="264"/>
      <c r="G368" s="271"/>
      <c r="H368" s="271"/>
      <c r="I368" s="268"/>
      <c r="J368" s="271"/>
      <c r="K368" s="271"/>
      <c r="L368" s="271"/>
      <c r="M368" s="271"/>
      <c r="N368" s="271"/>
      <c r="O368" s="271"/>
      <c r="P368" s="265">
        <v>6</v>
      </c>
      <c r="Q368" s="264">
        <v>1</v>
      </c>
      <c r="R368" s="264" t="s">
        <v>20</v>
      </c>
      <c r="S368" s="264">
        <v>2006</v>
      </c>
      <c r="T368" s="266" t="s">
        <v>163</v>
      </c>
      <c r="U368" s="267">
        <v>42653</v>
      </c>
      <c r="V368" s="269"/>
      <c r="W368" s="366">
        <f>COUNT(RawMaterials[[#This Row],[Lab Quantity 1]:[Lab Quantity 4]])</f>
        <v>0</v>
      </c>
      <c r="X3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8" s="367" t="e">
        <f>RawMaterials[[#This Row],[Lab Price 1]]/RawMaterials[[#This Row],[Lab Q Model Units 1]]</f>
        <v>#N/A</v>
      </c>
      <c r="AC368" s="367" t="e">
        <f>RawMaterials[[#This Row],[Lab Price 2]]/RawMaterials[[#This Row],[Lab Q Model Units 2]]</f>
        <v>#N/A</v>
      </c>
      <c r="AD368" s="367" t="e">
        <f>RawMaterials[[#This Row],[Lab Price 3]]/RawMaterials[[#This Row],[Lab Q Model Units 3]]</f>
        <v>#N/A</v>
      </c>
      <c r="AE368" s="367" t="e">
        <f>RawMaterials[[#This Row],[Lab Price 4]]/RawMaterials[[#This Row],[Lab Q Model Units 4]]</f>
        <v>#N/A</v>
      </c>
      <c r="AF368" s="367" t="str">
        <f ca="1">IF(RawMaterials[[#This Row],[Lab Quote Count]]&gt;1,SLOPE(LOG(INDIRECT("RawMaterials[@[Lab Unit P 1]:[Lab Unit P "&amp;RawMaterials[[#This Row],[Lab Quote Count]]&amp;"]]")),LOG(INDIRECT("RawMaterials[@[Lab Q Model Units 1]:[Lab Q Model Units "&amp;RawMaterials[[#This Row],[Lab Quote Count]]&amp;"]]"))),"")</f>
        <v/>
      </c>
      <c r="AG368" s="367" t="str">
        <f ca="1">IF(RawMaterials[[#This Row],[Lab Quote Count]]&gt;1,INTERCEPT(LOG(INDIRECT("RawMaterials[@[Lab Unit P 1]:[Lab Unit P "&amp;RawMaterials[[#This Row],[Lab Quote Count]]&amp;"]]")),LOG(INDIRECT("RawMaterials[@[Lab Q Model Units 1]:[Lab Q Model Units "&amp;RawMaterials[[#This Row],[Lab Quote Count]]&amp;"]]"))),"")</f>
        <v/>
      </c>
      <c r="AH368" s="368" t="str">
        <f>IF(RawMaterials[[#This Row],[Material Type]]="Metal Precursor","D13",IF(RawMaterials[[#This Row],[Material Type]]="Ligand","D13","D12"))</f>
        <v>D12</v>
      </c>
      <c r="AI368" s="369" t="str">
        <f ca="1">IF(RawMaterials[[#This Row],[Lab Quote Count]]&gt;1,10^RawMaterials[[#This Row],[Lab Log-Log Intercept]]*INDIRECT(RawMaterials[[#This Row],[Basis Cell]])^RawMaterials[[#This Row],[Lab Log-Log Slope]],"&gt;&gt;&gt; Enter 2 or more lab quotes &lt;&lt;&lt;")</f>
        <v>&gt;&gt;&gt; Enter 2 or more lab quotes &lt;&lt;&lt;</v>
      </c>
      <c r="AJ3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v>
      </c>
      <c r="AL368" s="372">
        <f>IF(ISTEXT(RawMaterials[[#This Row],[Unit price in quote year]]),"Check calcs",RawMaterials[[#This Row],[Unit price in quote year]]/VLOOKUP(RawMaterials[[#This Row],[Quote Year]],ChemPPI[],14,FALSE)*VLOOKUP(BasisYear,ChemPPI[],14,FALSE))</f>
        <v>8.1432926829268304</v>
      </c>
      <c r="AM368" s="373" t="str">
        <f t="shared" si="5"/>
        <v>$/lb (2016)</v>
      </c>
    </row>
    <row r="369" spans="1:39">
      <c r="A369" s="263" t="s">
        <v>1468</v>
      </c>
      <c r="B369" s="264"/>
      <c r="C369" s="271"/>
      <c r="D369" s="365"/>
      <c r="E369" s="264">
        <v>100</v>
      </c>
      <c r="F369" s="264"/>
      <c r="G369" s="271"/>
      <c r="H369" s="271"/>
      <c r="I369" s="268"/>
      <c r="J369" s="271"/>
      <c r="K369" s="271"/>
      <c r="L369" s="271"/>
      <c r="M369" s="271"/>
      <c r="N369" s="271"/>
      <c r="O369" s="271"/>
      <c r="P369" s="265">
        <v>1.5</v>
      </c>
      <c r="Q369" s="264">
        <v>1</v>
      </c>
      <c r="R369" s="264" t="s">
        <v>20</v>
      </c>
      <c r="S369" s="264">
        <v>2006</v>
      </c>
      <c r="T369" s="266" t="s">
        <v>163</v>
      </c>
      <c r="U369" s="267">
        <v>42653</v>
      </c>
      <c r="V369" s="269"/>
      <c r="W369" s="366">
        <f>COUNT(RawMaterials[[#This Row],[Lab Quantity 1]:[Lab Quantity 4]])</f>
        <v>0</v>
      </c>
      <c r="X3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69" s="367" t="e">
        <f>RawMaterials[[#This Row],[Lab Price 1]]/RawMaterials[[#This Row],[Lab Q Model Units 1]]</f>
        <v>#N/A</v>
      </c>
      <c r="AC369" s="367" t="e">
        <f>RawMaterials[[#This Row],[Lab Price 2]]/RawMaterials[[#This Row],[Lab Q Model Units 2]]</f>
        <v>#N/A</v>
      </c>
      <c r="AD369" s="367" t="e">
        <f>RawMaterials[[#This Row],[Lab Price 3]]/RawMaterials[[#This Row],[Lab Q Model Units 3]]</f>
        <v>#N/A</v>
      </c>
      <c r="AE369" s="367" t="e">
        <f>RawMaterials[[#This Row],[Lab Price 4]]/RawMaterials[[#This Row],[Lab Q Model Units 4]]</f>
        <v>#N/A</v>
      </c>
      <c r="AF369" s="367" t="str">
        <f ca="1">IF(RawMaterials[[#This Row],[Lab Quote Count]]&gt;1,SLOPE(LOG(INDIRECT("RawMaterials[@[Lab Unit P 1]:[Lab Unit P "&amp;RawMaterials[[#This Row],[Lab Quote Count]]&amp;"]]")),LOG(INDIRECT("RawMaterials[@[Lab Q Model Units 1]:[Lab Q Model Units "&amp;RawMaterials[[#This Row],[Lab Quote Count]]&amp;"]]"))),"")</f>
        <v/>
      </c>
      <c r="AG369" s="367" t="str">
        <f ca="1">IF(RawMaterials[[#This Row],[Lab Quote Count]]&gt;1,INTERCEPT(LOG(INDIRECT("RawMaterials[@[Lab Unit P 1]:[Lab Unit P "&amp;RawMaterials[[#This Row],[Lab Quote Count]]&amp;"]]")),LOG(INDIRECT("RawMaterials[@[Lab Q Model Units 1]:[Lab Q Model Units "&amp;RawMaterials[[#This Row],[Lab Quote Count]]&amp;"]]"))),"")</f>
        <v/>
      </c>
      <c r="AH369" s="368" t="str">
        <f>IF(RawMaterials[[#This Row],[Material Type]]="Metal Precursor","D13",IF(RawMaterials[[#This Row],[Material Type]]="Ligand","D13","D12"))</f>
        <v>D12</v>
      </c>
      <c r="AI369" s="369" t="str">
        <f ca="1">IF(RawMaterials[[#This Row],[Lab Quote Count]]&gt;1,10^RawMaterials[[#This Row],[Lab Log-Log Intercept]]*INDIRECT(RawMaterials[[#This Row],[Basis Cell]])^RawMaterials[[#This Row],[Lab Log-Log Slope]],"&gt;&gt;&gt; Enter 2 or more lab quotes &lt;&lt;&lt;")</f>
        <v>&gt;&gt;&gt; Enter 2 or more lab quotes &lt;&lt;&lt;</v>
      </c>
      <c r="AJ3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369" s="372">
        <f>IF(ISTEXT(RawMaterials[[#This Row],[Unit price in quote year]]),"Check calcs",RawMaterials[[#This Row],[Unit price in quote year]]/VLOOKUP(RawMaterials[[#This Row],[Quote Year]],ChemPPI[],14,FALSE)*VLOOKUP(BasisYear,ChemPPI[],14,FALSE))</f>
        <v>2.0358231707317076</v>
      </c>
      <c r="AM369" s="373" t="str">
        <f t="shared" si="5"/>
        <v>$/lb (2016)</v>
      </c>
    </row>
    <row r="370" spans="1:39">
      <c r="A370" s="263" t="s">
        <v>1469</v>
      </c>
      <c r="B370" s="264"/>
      <c r="C370" s="271"/>
      <c r="D370" s="365"/>
      <c r="E370" s="264">
        <v>100</v>
      </c>
      <c r="F370" s="264"/>
      <c r="G370" s="271"/>
      <c r="H370" s="271"/>
      <c r="I370" s="268"/>
      <c r="J370" s="271"/>
      <c r="K370" s="271"/>
      <c r="L370" s="271"/>
      <c r="M370" s="271"/>
      <c r="N370" s="271"/>
      <c r="O370" s="271"/>
      <c r="P370" s="265">
        <v>1.145</v>
      </c>
      <c r="Q370" s="264">
        <v>1</v>
      </c>
      <c r="R370" s="264" t="s">
        <v>20</v>
      </c>
      <c r="S370" s="264">
        <v>2006</v>
      </c>
      <c r="T370" s="266" t="s">
        <v>163</v>
      </c>
      <c r="U370" s="267">
        <v>42653</v>
      </c>
      <c r="V370" s="269"/>
      <c r="W370" s="366">
        <f>COUNT(RawMaterials[[#This Row],[Lab Quantity 1]:[Lab Quantity 4]])</f>
        <v>0</v>
      </c>
      <c r="X3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0" s="367" t="e">
        <f>RawMaterials[[#This Row],[Lab Price 1]]/RawMaterials[[#This Row],[Lab Q Model Units 1]]</f>
        <v>#N/A</v>
      </c>
      <c r="AC370" s="367" t="e">
        <f>RawMaterials[[#This Row],[Lab Price 2]]/RawMaterials[[#This Row],[Lab Q Model Units 2]]</f>
        <v>#N/A</v>
      </c>
      <c r="AD370" s="367" t="e">
        <f>RawMaterials[[#This Row],[Lab Price 3]]/RawMaterials[[#This Row],[Lab Q Model Units 3]]</f>
        <v>#N/A</v>
      </c>
      <c r="AE370" s="367" t="e">
        <f>RawMaterials[[#This Row],[Lab Price 4]]/RawMaterials[[#This Row],[Lab Q Model Units 4]]</f>
        <v>#N/A</v>
      </c>
      <c r="AF370" s="367" t="str">
        <f ca="1">IF(RawMaterials[[#This Row],[Lab Quote Count]]&gt;1,SLOPE(LOG(INDIRECT("RawMaterials[@[Lab Unit P 1]:[Lab Unit P "&amp;RawMaterials[[#This Row],[Lab Quote Count]]&amp;"]]")),LOG(INDIRECT("RawMaterials[@[Lab Q Model Units 1]:[Lab Q Model Units "&amp;RawMaterials[[#This Row],[Lab Quote Count]]&amp;"]]"))),"")</f>
        <v/>
      </c>
      <c r="AG370" s="367" t="str">
        <f ca="1">IF(RawMaterials[[#This Row],[Lab Quote Count]]&gt;1,INTERCEPT(LOG(INDIRECT("RawMaterials[@[Lab Unit P 1]:[Lab Unit P "&amp;RawMaterials[[#This Row],[Lab Quote Count]]&amp;"]]")),LOG(INDIRECT("RawMaterials[@[Lab Q Model Units 1]:[Lab Q Model Units "&amp;RawMaterials[[#This Row],[Lab Quote Count]]&amp;"]]"))),"")</f>
        <v/>
      </c>
      <c r="AH370" s="368" t="str">
        <f>IF(RawMaterials[[#This Row],[Material Type]]="Metal Precursor","D13",IF(RawMaterials[[#This Row],[Material Type]]="Ligand","D13","D12"))</f>
        <v>D12</v>
      </c>
      <c r="AI370" s="369" t="str">
        <f ca="1">IF(RawMaterials[[#This Row],[Lab Quote Count]]&gt;1,10^RawMaterials[[#This Row],[Lab Log-Log Intercept]]*INDIRECT(RawMaterials[[#This Row],[Basis Cell]])^RawMaterials[[#This Row],[Lab Log-Log Slope]],"&gt;&gt;&gt; Enter 2 or more lab quotes &lt;&lt;&lt;")</f>
        <v>&gt;&gt;&gt; Enter 2 or more lab quotes &lt;&lt;&lt;</v>
      </c>
      <c r="AJ3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1.145</v>
      </c>
      <c r="AL370" s="372">
        <f>IF(ISTEXT(RawMaterials[[#This Row],[Unit price in quote year]]),"Check calcs",RawMaterials[[#This Row],[Unit price in quote year]]/VLOOKUP(RawMaterials[[#This Row],[Quote Year]],ChemPPI[],14,FALSE)*VLOOKUP(BasisYear,ChemPPI[],14,FALSE))</f>
        <v>1.5540116869918701</v>
      </c>
      <c r="AM370" s="373" t="str">
        <f t="shared" si="5"/>
        <v>$/lb (2016)</v>
      </c>
    </row>
    <row r="371" spans="1:39">
      <c r="A371" s="263" t="s">
        <v>1470</v>
      </c>
      <c r="B371" s="264"/>
      <c r="C371" s="271"/>
      <c r="D371" s="365"/>
      <c r="E371" s="264">
        <v>100</v>
      </c>
      <c r="F371" s="264"/>
      <c r="G371" s="271"/>
      <c r="H371" s="271"/>
      <c r="I371" s="268"/>
      <c r="J371" s="271"/>
      <c r="K371" s="271"/>
      <c r="L371" s="271"/>
      <c r="M371" s="271"/>
      <c r="N371" s="271"/>
      <c r="O371" s="271"/>
      <c r="P371" s="265">
        <v>0.47499999999999998</v>
      </c>
      <c r="Q371" s="264">
        <v>1</v>
      </c>
      <c r="R371" s="264" t="s">
        <v>20</v>
      </c>
      <c r="S371" s="264">
        <v>2006</v>
      </c>
      <c r="T371" s="266" t="s">
        <v>163</v>
      </c>
      <c r="U371" s="267">
        <v>42653</v>
      </c>
      <c r="V371" s="269"/>
      <c r="W371" s="366">
        <f>COUNT(RawMaterials[[#This Row],[Lab Quantity 1]:[Lab Quantity 4]])</f>
        <v>0</v>
      </c>
      <c r="X3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1" s="367" t="e">
        <f>RawMaterials[[#This Row],[Lab Price 1]]/RawMaterials[[#This Row],[Lab Q Model Units 1]]</f>
        <v>#N/A</v>
      </c>
      <c r="AC371" s="367" t="e">
        <f>RawMaterials[[#This Row],[Lab Price 2]]/RawMaterials[[#This Row],[Lab Q Model Units 2]]</f>
        <v>#N/A</v>
      </c>
      <c r="AD371" s="367" t="e">
        <f>RawMaterials[[#This Row],[Lab Price 3]]/RawMaterials[[#This Row],[Lab Q Model Units 3]]</f>
        <v>#N/A</v>
      </c>
      <c r="AE371" s="367" t="e">
        <f>RawMaterials[[#This Row],[Lab Price 4]]/RawMaterials[[#This Row],[Lab Q Model Units 4]]</f>
        <v>#N/A</v>
      </c>
      <c r="AF371" s="367" t="str">
        <f ca="1">IF(RawMaterials[[#This Row],[Lab Quote Count]]&gt;1,SLOPE(LOG(INDIRECT("RawMaterials[@[Lab Unit P 1]:[Lab Unit P "&amp;RawMaterials[[#This Row],[Lab Quote Count]]&amp;"]]")),LOG(INDIRECT("RawMaterials[@[Lab Q Model Units 1]:[Lab Q Model Units "&amp;RawMaterials[[#This Row],[Lab Quote Count]]&amp;"]]"))),"")</f>
        <v/>
      </c>
      <c r="AG371" s="367" t="str">
        <f ca="1">IF(RawMaterials[[#This Row],[Lab Quote Count]]&gt;1,INTERCEPT(LOG(INDIRECT("RawMaterials[@[Lab Unit P 1]:[Lab Unit P "&amp;RawMaterials[[#This Row],[Lab Quote Count]]&amp;"]]")),LOG(INDIRECT("RawMaterials[@[Lab Q Model Units 1]:[Lab Q Model Units "&amp;RawMaterials[[#This Row],[Lab Quote Count]]&amp;"]]"))),"")</f>
        <v/>
      </c>
      <c r="AH371" s="368" t="str">
        <f>IF(RawMaterials[[#This Row],[Material Type]]="Metal Precursor","D13",IF(RawMaterials[[#This Row],[Material Type]]="Ligand","D13","D12"))</f>
        <v>D12</v>
      </c>
      <c r="AI371" s="369" t="str">
        <f ca="1">IF(RawMaterials[[#This Row],[Lab Quote Count]]&gt;1,10^RawMaterials[[#This Row],[Lab Log-Log Intercept]]*INDIRECT(RawMaterials[[#This Row],[Basis Cell]])^RawMaterials[[#This Row],[Lab Log-Log Slope]],"&gt;&gt;&gt; Enter 2 or more lab quotes &lt;&lt;&lt;")</f>
        <v>&gt;&gt;&gt; Enter 2 or more lab quotes &lt;&lt;&lt;</v>
      </c>
      <c r="AJ3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371" s="372">
        <f>IF(ISTEXT(RawMaterials[[#This Row],[Unit price in quote year]]),"Check calcs",RawMaterials[[#This Row],[Unit price in quote year]]/VLOOKUP(RawMaterials[[#This Row],[Quote Year]],ChemPPI[],14,FALSE)*VLOOKUP(BasisYear,ChemPPI[],14,FALSE))</f>
        <v>0.64467733739837407</v>
      </c>
      <c r="AM371" s="373" t="str">
        <f t="shared" si="5"/>
        <v>$/lb (2016)</v>
      </c>
    </row>
    <row r="372" spans="1:39">
      <c r="A372" s="263" t="s">
        <v>1471</v>
      </c>
      <c r="B372" s="264"/>
      <c r="C372" s="271"/>
      <c r="D372" s="365"/>
      <c r="E372" s="264">
        <v>100</v>
      </c>
      <c r="F372" s="264"/>
      <c r="G372" s="271"/>
      <c r="H372" s="271"/>
      <c r="I372" s="268"/>
      <c r="J372" s="271"/>
      <c r="K372" s="271"/>
      <c r="L372" s="271"/>
      <c r="M372" s="271"/>
      <c r="N372" s="271"/>
      <c r="O372" s="271"/>
      <c r="P372" s="265">
        <v>0.39</v>
      </c>
      <c r="Q372" s="264">
        <v>1</v>
      </c>
      <c r="R372" s="264" t="s">
        <v>20</v>
      </c>
      <c r="S372" s="264">
        <v>2008</v>
      </c>
      <c r="T372" s="266" t="s">
        <v>163</v>
      </c>
      <c r="U372" s="267">
        <v>42653</v>
      </c>
      <c r="V372" s="269"/>
      <c r="W372" s="366">
        <f>COUNT(RawMaterials[[#This Row],[Lab Quantity 1]:[Lab Quantity 4]])</f>
        <v>0</v>
      </c>
      <c r="X3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2" s="367" t="e">
        <f>RawMaterials[[#This Row],[Lab Price 1]]/RawMaterials[[#This Row],[Lab Q Model Units 1]]</f>
        <v>#N/A</v>
      </c>
      <c r="AC372" s="367" t="e">
        <f>RawMaterials[[#This Row],[Lab Price 2]]/RawMaterials[[#This Row],[Lab Q Model Units 2]]</f>
        <v>#N/A</v>
      </c>
      <c r="AD372" s="367" t="e">
        <f>RawMaterials[[#This Row],[Lab Price 3]]/RawMaterials[[#This Row],[Lab Q Model Units 3]]</f>
        <v>#N/A</v>
      </c>
      <c r="AE372" s="367" t="e">
        <f>RawMaterials[[#This Row],[Lab Price 4]]/RawMaterials[[#This Row],[Lab Q Model Units 4]]</f>
        <v>#N/A</v>
      </c>
      <c r="AF372" s="367" t="str">
        <f ca="1">IF(RawMaterials[[#This Row],[Lab Quote Count]]&gt;1,SLOPE(LOG(INDIRECT("RawMaterials[@[Lab Unit P 1]:[Lab Unit P "&amp;RawMaterials[[#This Row],[Lab Quote Count]]&amp;"]]")),LOG(INDIRECT("RawMaterials[@[Lab Q Model Units 1]:[Lab Q Model Units "&amp;RawMaterials[[#This Row],[Lab Quote Count]]&amp;"]]"))),"")</f>
        <v/>
      </c>
      <c r="AG372" s="367" t="str">
        <f ca="1">IF(RawMaterials[[#This Row],[Lab Quote Count]]&gt;1,INTERCEPT(LOG(INDIRECT("RawMaterials[@[Lab Unit P 1]:[Lab Unit P "&amp;RawMaterials[[#This Row],[Lab Quote Count]]&amp;"]]")),LOG(INDIRECT("RawMaterials[@[Lab Q Model Units 1]:[Lab Q Model Units "&amp;RawMaterials[[#This Row],[Lab Quote Count]]&amp;"]]"))),"")</f>
        <v/>
      </c>
      <c r="AH372" s="368" t="str">
        <f>IF(RawMaterials[[#This Row],[Material Type]]="Metal Precursor","D13",IF(RawMaterials[[#This Row],[Material Type]]="Ligand","D13","D12"))</f>
        <v>D12</v>
      </c>
      <c r="AI372" s="369" t="str">
        <f ca="1">IF(RawMaterials[[#This Row],[Lab Quote Count]]&gt;1,10^RawMaterials[[#This Row],[Lab Log-Log Intercept]]*INDIRECT(RawMaterials[[#This Row],[Basis Cell]])^RawMaterials[[#This Row],[Lab Log-Log Slope]],"&gt;&gt;&gt; Enter 2 or more lab quotes &lt;&lt;&lt;")</f>
        <v>&gt;&gt;&gt; Enter 2 or more lab quotes &lt;&lt;&lt;</v>
      </c>
      <c r="AJ3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372" s="372">
        <f>IF(ISTEXT(RawMaterials[[#This Row],[Unit price in quote year]]),"Check calcs",RawMaterials[[#This Row],[Unit price in quote year]]/VLOOKUP(RawMaterials[[#This Row],[Quote Year]],ChemPPI[],14,FALSE)*VLOOKUP(BasisYear,ChemPPI[],14,FALSE))</f>
        <v>0.45646448785831667</v>
      </c>
      <c r="AM372" s="373" t="str">
        <f t="shared" si="5"/>
        <v>$/lb (2016)</v>
      </c>
    </row>
    <row r="373" spans="1:39">
      <c r="A373" s="263" t="s">
        <v>1472</v>
      </c>
      <c r="B373" s="264"/>
      <c r="C373" s="271"/>
      <c r="D373" s="365"/>
      <c r="E373" s="264">
        <v>100</v>
      </c>
      <c r="F373" s="264"/>
      <c r="G373" s="271"/>
      <c r="H373" s="271"/>
      <c r="I373" s="268"/>
      <c r="J373" s="271"/>
      <c r="K373" s="271"/>
      <c r="L373" s="271"/>
      <c r="M373" s="271"/>
      <c r="N373" s="271"/>
      <c r="O373" s="271"/>
      <c r="P373" s="265">
        <v>0.90500000000000003</v>
      </c>
      <c r="Q373" s="264">
        <v>1</v>
      </c>
      <c r="R373" s="264" t="s">
        <v>20</v>
      </c>
      <c r="S373" s="264">
        <v>2006</v>
      </c>
      <c r="T373" s="266" t="s">
        <v>163</v>
      </c>
      <c r="U373" s="267">
        <v>42653</v>
      </c>
      <c r="V373" s="269"/>
      <c r="W373" s="366">
        <f>COUNT(RawMaterials[[#This Row],[Lab Quantity 1]:[Lab Quantity 4]])</f>
        <v>0</v>
      </c>
      <c r="X3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3" s="367" t="e">
        <f>RawMaterials[[#This Row],[Lab Price 1]]/RawMaterials[[#This Row],[Lab Q Model Units 1]]</f>
        <v>#N/A</v>
      </c>
      <c r="AC373" s="367" t="e">
        <f>RawMaterials[[#This Row],[Lab Price 2]]/RawMaterials[[#This Row],[Lab Q Model Units 2]]</f>
        <v>#N/A</v>
      </c>
      <c r="AD373" s="367" t="e">
        <f>RawMaterials[[#This Row],[Lab Price 3]]/RawMaterials[[#This Row],[Lab Q Model Units 3]]</f>
        <v>#N/A</v>
      </c>
      <c r="AE373" s="367" t="e">
        <f>RawMaterials[[#This Row],[Lab Price 4]]/RawMaterials[[#This Row],[Lab Q Model Units 4]]</f>
        <v>#N/A</v>
      </c>
      <c r="AF373" s="367" t="str">
        <f ca="1">IF(RawMaterials[[#This Row],[Lab Quote Count]]&gt;1,SLOPE(LOG(INDIRECT("RawMaterials[@[Lab Unit P 1]:[Lab Unit P "&amp;RawMaterials[[#This Row],[Lab Quote Count]]&amp;"]]")),LOG(INDIRECT("RawMaterials[@[Lab Q Model Units 1]:[Lab Q Model Units "&amp;RawMaterials[[#This Row],[Lab Quote Count]]&amp;"]]"))),"")</f>
        <v/>
      </c>
      <c r="AG373" s="367" t="str">
        <f ca="1">IF(RawMaterials[[#This Row],[Lab Quote Count]]&gt;1,INTERCEPT(LOG(INDIRECT("RawMaterials[@[Lab Unit P 1]:[Lab Unit P "&amp;RawMaterials[[#This Row],[Lab Quote Count]]&amp;"]]")),LOG(INDIRECT("RawMaterials[@[Lab Q Model Units 1]:[Lab Q Model Units "&amp;RawMaterials[[#This Row],[Lab Quote Count]]&amp;"]]"))),"")</f>
        <v/>
      </c>
      <c r="AH373" s="368" t="str">
        <f>IF(RawMaterials[[#This Row],[Material Type]]="Metal Precursor","D13",IF(RawMaterials[[#This Row],[Material Type]]="Ligand","D13","D12"))</f>
        <v>D12</v>
      </c>
      <c r="AI373" s="369" t="str">
        <f ca="1">IF(RawMaterials[[#This Row],[Lab Quote Count]]&gt;1,10^RawMaterials[[#This Row],[Lab Log-Log Intercept]]*INDIRECT(RawMaterials[[#This Row],[Basis Cell]])^RawMaterials[[#This Row],[Lab Log-Log Slope]],"&gt;&gt;&gt; Enter 2 or more lab quotes &lt;&lt;&lt;")</f>
        <v>&gt;&gt;&gt; Enter 2 or more lab quotes &lt;&lt;&lt;</v>
      </c>
      <c r="AJ3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373" s="372">
        <f>IF(ISTEXT(RawMaterials[[#This Row],[Unit price in quote year]]),"Check calcs",RawMaterials[[#This Row],[Unit price in quote year]]/VLOOKUP(RawMaterials[[#This Row],[Quote Year]],ChemPPI[],14,FALSE)*VLOOKUP(BasisYear,ChemPPI[],14,FALSE))</f>
        <v>1.2282799796747972</v>
      </c>
      <c r="AM373" s="373" t="str">
        <f t="shared" si="5"/>
        <v>$/lb (2016)</v>
      </c>
    </row>
    <row r="374" spans="1:39">
      <c r="A374" s="263" t="s">
        <v>1473</v>
      </c>
      <c r="B374" s="264"/>
      <c r="C374" s="271"/>
      <c r="D374" s="365"/>
      <c r="E374" s="264">
        <v>100</v>
      </c>
      <c r="F374" s="264"/>
      <c r="G374" s="271"/>
      <c r="H374" s="271"/>
      <c r="I374" s="268"/>
      <c r="J374" s="271"/>
      <c r="K374" s="271"/>
      <c r="L374" s="271"/>
      <c r="M374" s="271"/>
      <c r="N374" s="271"/>
      <c r="O374" s="271"/>
      <c r="P374" s="265">
        <v>0.8</v>
      </c>
      <c r="Q374" s="264">
        <v>1</v>
      </c>
      <c r="R374" s="264" t="s">
        <v>20</v>
      </c>
      <c r="S374" s="264">
        <v>2006</v>
      </c>
      <c r="T374" s="266" t="s">
        <v>163</v>
      </c>
      <c r="U374" s="267">
        <v>42653</v>
      </c>
      <c r="V374" s="269"/>
      <c r="W374" s="366">
        <f>COUNT(RawMaterials[[#This Row],[Lab Quantity 1]:[Lab Quantity 4]])</f>
        <v>0</v>
      </c>
      <c r="X3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4" s="367" t="e">
        <f>RawMaterials[[#This Row],[Lab Price 1]]/RawMaterials[[#This Row],[Lab Q Model Units 1]]</f>
        <v>#N/A</v>
      </c>
      <c r="AC374" s="367" t="e">
        <f>RawMaterials[[#This Row],[Lab Price 2]]/RawMaterials[[#This Row],[Lab Q Model Units 2]]</f>
        <v>#N/A</v>
      </c>
      <c r="AD374" s="367" t="e">
        <f>RawMaterials[[#This Row],[Lab Price 3]]/RawMaterials[[#This Row],[Lab Q Model Units 3]]</f>
        <v>#N/A</v>
      </c>
      <c r="AE374" s="367" t="e">
        <f>RawMaterials[[#This Row],[Lab Price 4]]/RawMaterials[[#This Row],[Lab Q Model Units 4]]</f>
        <v>#N/A</v>
      </c>
      <c r="AF374" s="367" t="str">
        <f ca="1">IF(RawMaterials[[#This Row],[Lab Quote Count]]&gt;1,SLOPE(LOG(INDIRECT("RawMaterials[@[Lab Unit P 1]:[Lab Unit P "&amp;RawMaterials[[#This Row],[Lab Quote Count]]&amp;"]]")),LOG(INDIRECT("RawMaterials[@[Lab Q Model Units 1]:[Lab Q Model Units "&amp;RawMaterials[[#This Row],[Lab Quote Count]]&amp;"]]"))),"")</f>
        <v/>
      </c>
      <c r="AG374" s="367" t="str">
        <f ca="1">IF(RawMaterials[[#This Row],[Lab Quote Count]]&gt;1,INTERCEPT(LOG(INDIRECT("RawMaterials[@[Lab Unit P 1]:[Lab Unit P "&amp;RawMaterials[[#This Row],[Lab Quote Count]]&amp;"]]")),LOG(INDIRECT("RawMaterials[@[Lab Q Model Units 1]:[Lab Q Model Units "&amp;RawMaterials[[#This Row],[Lab Quote Count]]&amp;"]]"))),"")</f>
        <v/>
      </c>
      <c r="AH374" s="368" t="str">
        <f>IF(RawMaterials[[#This Row],[Material Type]]="Metal Precursor","D13",IF(RawMaterials[[#This Row],[Material Type]]="Ligand","D13","D12"))</f>
        <v>D12</v>
      </c>
      <c r="AI374" s="369" t="str">
        <f ca="1">IF(RawMaterials[[#This Row],[Lab Quote Count]]&gt;1,10^RawMaterials[[#This Row],[Lab Log-Log Intercept]]*INDIRECT(RawMaterials[[#This Row],[Basis Cell]])^RawMaterials[[#This Row],[Lab Log-Log Slope]],"&gt;&gt;&gt; Enter 2 or more lab quotes &lt;&lt;&lt;")</f>
        <v>&gt;&gt;&gt; Enter 2 or more lab quotes &lt;&lt;&lt;</v>
      </c>
      <c r="AJ3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374" s="372">
        <f>IF(ISTEXT(RawMaterials[[#This Row],[Unit price in quote year]]),"Check calcs",RawMaterials[[#This Row],[Unit price in quote year]]/VLOOKUP(RawMaterials[[#This Row],[Quote Year]],ChemPPI[],14,FALSE)*VLOOKUP(BasisYear,ChemPPI[],14,FALSE))</f>
        <v>1.0857723577235774</v>
      </c>
      <c r="AM374" s="373" t="str">
        <f t="shared" si="5"/>
        <v>$/lb (2016)</v>
      </c>
    </row>
    <row r="375" spans="1:39">
      <c r="A375" s="263" t="s">
        <v>1474</v>
      </c>
      <c r="B375" s="264"/>
      <c r="C375" s="271"/>
      <c r="D375" s="365"/>
      <c r="E375" s="264">
        <v>100</v>
      </c>
      <c r="F375" s="264"/>
      <c r="G375" s="271"/>
      <c r="H375" s="271"/>
      <c r="I375" s="268"/>
      <c r="J375" s="271"/>
      <c r="K375" s="271"/>
      <c r="L375" s="271"/>
      <c r="M375" s="271"/>
      <c r="N375" s="271"/>
      <c r="O375" s="271"/>
      <c r="P375" s="265">
        <v>0.92500000000000004</v>
      </c>
      <c r="Q375" s="264">
        <v>1</v>
      </c>
      <c r="R375" s="264" t="s">
        <v>20</v>
      </c>
      <c r="S375" s="264">
        <v>2006</v>
      </c>
      <c r="T375" s="266" t="s">
        <v>163</v>
      </c>
      <c r="U375" s="267">
        <v>42653</v>
      </c>
      <c r="V375" s="269"/>
      <c r="W375" s="366">
        <f>COUNT(RawMaterials[[#This Row],[Lab Quantity 1]:[Lab Quantity 4]])</f>
        <v>0</v>
      </c>
      <c r="X3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5" s="367" t="e">
        <f>RawMaterials[[#This Row],[Lab Price 1]]/RawMaterials[[#This Row],[Lab Q Model Units 1]]</f>
        <v>#N/A</v>
      </c>
      <c r="AC375" s="367" t="e">
        <f>RawMaterials[[#This Row],[Lab Price 2]]/RawMaterials[[#This Row],[Lab Q Model Units 2]]</f>
        <v>#N/A</v>
      </c>
      <c r="AD375" s="367" t="e">
        <f>RawMaterials[[#This Row],[Lab Price 3]]/RawMaterials[[#This Row],[Lab Q Model Units 3]]</f>
        <v>#N/A</v>
      </c>
      <c r="AE375" s="367" t="e">
        <f>RawMaterials[[#This Row],[Lab Price 4]]/RawMaterials[[#This Row],[Lab Q Model Units 4]]</f>
        <v>#N/A</v>
      </c>
      <c r="AF375" s="367" t="str">
        <f ca="1">IF(RawMaterials[[#This Row],[Lab Quote Count]]&gt;1,SLOPE(LOG(INDIRECT("RawMaterials[@[Lab Unit P 1]:[Lab Unit P "&amp;RawMaterials[[#This Row],[Lab Quote Count]]&amp;"]]")),LOG(INDIRECT("RawMaterials[@[Lab Q Model Units 1]:[Lab Q Model Units "&amp;RawMaterials[[#This Row],[Lab Quote Count]]&amp;"]]"))),"")</f>
        <v/>
      </c>
      <c r="AG375" s="367" t="str">
        <f ca="1">IF(RawMaterials[[#This Row],[Lab Quote Count]]&gt;1,INTERCEPT(LOG(INDIRECT("RawMaterials[@[Lab Unit P 1]:[Lab Unit P "&amp;RawMaterials[[#This Row],[Lab Quote Count]]&amp;"]]")),LOG(INDIRECT("RawMaterials[@[Lab Q Model Units 1]:[Lab Q Model Units "&amp;RawMaterials[[#This Row],[Lab Quote Count]]&amp;"]]"))),"")</f>
        <v/>
      </c>
      <c r="AH375" s="368" t="str">
        <f>IF(RawMaterials[[#This Row],[Material Type]]="Metal Precursor","D13",IF(RawMaterials[[#This Row],[Material Type]]="Ligand","D13","D12"))</f>
        <v>D12</v>
      </c>
      <c r="AI375" s="369" t="str">
        <f ca="1">IF(RawMaterials[[#This Row],[Lab Quote Count]]&gt;1,10^RawMaterials[[#This Row],[Lab Log-Log Intercept]]*INDIRECT(RawMaterials[[#This Row],[Basis Cell]])^RawMaterials[[#This Row],[Lab Log-Log Slope]],"&gt;&gt;&gt; Enter 2 or more lab quotes &lt;&lt;&lt;")</f>
        <v>&gt;&gt;&gt; Enter 2 or more lab quotes &lt;&lt;&lt;</v>
      </c>
      <c r="AJ3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0.92500000000000004</v>
      </c>
      <c r="AL375" s="372">
        <f>IF(ISTEXT(RawMaterials[[#This Row],[Unit price in quote year]]),"Check calcs",RawMaterials[[#This Row],[Unit price in quote year]]/VLOOKUP(RawMaterials[[#This Row],[Quote Year]],ChemPPI[],14,FALSE)*VLOOKUP(BasisYear,ChemPPI[],14,FALSE))</f>
        <v>1.2554242886178864</v>
      </c>
      <c r="AM375" s="373" t="str">
        <f t="shared" si="5"/>
        <v>$/lb (2016)</v>
      </c>
    </row>
    <row r="376" spans="1:39">
      <c r="A376" s="263" t="s">
        <v>1475</v>
      </c>
      <c r="B376" s="264"/>
      <c r="C376" s="271"/>
      <c r="D376" s="365"/>
      <c r="E376" s="264">
        <v>100</v>
      </c>
      <c r="F376" s="264"/>
      <c r="G376" s="271"/>
      <c r="H376" s="271"/>
      <c r="I376" s="268"/>
      <c r="J376" s="271"/>
      <c r="K376" s="271"/>
      <c r="L376" s="271"/>
      <c r="M376" s="271"/>
      <c r="N376" s="271"/>
      <c r="O376" s="271"/>
      <c r="P376" s="265">
        <v>0.82</v>
      </c>
      <c r="Q376" s="264">
        <v>1</v>
      </c>
      <c r="R376" s="264" t="s">
        <v>20</v>
      </c>
      <c r="S376" s="264">
        <v>2006</v>
      </c>
      <c r="T376" s="266" t="s">
        <v>163</v>
      </c>
      <c r="U376" s="267">
        <v>42653</v>
      </c>
      <c r="V376" s="269"/>
      <c r="W376" s="366">
        <f>COUNT(RawMaterials[[#This Row],[Lab Quantity 1]:[Lab Quantity 4]])</f>
        <v>0</v>
      </c>
      <c r="X3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6" s="367" t="e">
        <f>RawMaterials[[#This Row],[Lab Price 1]]/RawMaterials[[#This Row],[Lab Q Model Units 1]]</f>
        <v>#N/A</v>
      </c>
      <c r="AC376" s="367" t="e">
        <f>RawMaterials[[#This Row],[Lab Price 2]]/RawMaterials[[#This Row],[Lab Q Model Units 2]]</f>
        <v>#N/A</v>
      </c>
      <c r="AD376" s="367" t="e">
        <f>RawMaterials[[#This Row],[Lab Price 3]]/RawMaterials[[#This Row],[Lab Q Model Units 3]]</f>
        <v>#N/A</v>
      </c>
      <c r="AE376" s="367" t="e">
        <f>RawMaterials[[#This Row],[Lab Price 4]]/RawMaterials[[#This Row],[Lab Q Model Units 4]]</f>
        <v>#N/A</v>
      </c>
      <c r="AF376" s="367" t="str">
        <f ca="1">IF(RawMaterials[[#This Row],[Lab Quote Count]]&gt;1,SLOPE(LOG(INDIRECT("RawMaterials[@[Lab Unit P 1]:[Lab Unit P "&amp;RawMaterials[[#This Row],[Lab Quote Count]]&amp;"]]")),LOG(INDIRECT("RawMaterials[@[Lab Q Model Units 1]:[Lab Q Model Units "&amp;RawMaterials[[#This Row],[Lab Quote Count]]&amp;"]]"))),"")</f>
        <v/>
      </c>
      <c r="AG376" s="367" t="str">
        <f ca="1">IF(RawMaterials[[#This Row],[Lab Quote Count]]&gt;1,INTERCEPT(LOG(INDIRECT("RawMaterials[@[Lab Unit P 1]:[Lab Unit P "&amp;RawMaterials[[#This Row],[Lab Quote Count]]&amp;"]]")),LOG(INDIRECT("RawMaterials[@[Lab Q Model Units 1]:[Lab Q Model Units "&amp;RawMaterials[[#This Row],[Lab Quote Count]]&amp;"]]"))),"")</f>
        <v/>
      </c>
      <c r="AH376" s="368" t="str">
        <f>IF(RawMaterials[[#This Row],[Material Type]]="Metal Precursor","D13",IF(RawMaterials[[#This Row],[Material Type]]="Ligand","D13","D12"))</f>
        <v>D12</v>
      </c>
      <c r="AI376" s="369" t="str">
        <f ca="1">IF(RawMaterials[[#This Row],[Lab Quote Count]]&gt;1,10^RawMaterials[[#This Row],[Lab Log-Log Intercept]]*INDIRECT(RawMaterials[[#This Row],[Basis Cell]])^RawMaterials[[#This Row],[Lab Log-Log Slope]],"&gt;&gt;&gt; Enter 2 or more lab quotes &lt;&lt;&lt;")</f>
        <v>&gt;&gt;&gt; Enter 2 or more lab quotes &lt;&lt;&lt;</v>
      </c>
      <c r="AJ3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76" s="372">
        <f>IF(ISTEXT(RawMaterials[[#This Row],[Unit price in quote year]]),"Check calcs",RawMaterials[[#This Row],[Unit price in quote year]]/VLOOKUP(RawMaterials[[#This Row],[Quote Year]],ChemPPI[],14,FALSE)*VLOOKUP(BasisYear,ChemPPI[],14,FALSE))</f>
        <v>1.1129166666666668</v>
      </c>
      <c r="AM376" s="373" t="str">
        <f t="shared" si="5"/>
        <v>$/lb (2016)</v>
      </c>
    </row>
    <row r="377" spans="1:39">
      <c r="A377" s="263" t="s">
        <v>1476</v>
      </c>
      <c r="B377" s="264"/>
      <c r="C377" s="271"/>
      <c r="D377" s="365"/>
      <c r="E377" s="264">
        <v>100</v>
      </c>
      <c r="F377" s="264"/>
      <c r="G377" s="271"/>
      <c r="H377" s="271"/>
      <c r="I377" s="268"/>
      <c r="J377" s="271"/>
      <c r="K377" s="271"/>
      <c r="L377" s="271"/>
      <c r="M377" s="271"/>
      <c r="N377" s="271"/>
      <c r="O377" s="271"/>
      <c r="P377" s="265">
        <v>0.93</v>
      </c>
      <c r="Q377" s="264">
        <v>1</v>
      </c>
      <c r="R377" s="264" t="s">
        <v>20</v>
      </c>
      <c r="S377" s="264">
        <v>2006</v>
      </c>
      <c r="T377" s="266" t="s">
        <v>163</v>
      </c>
      <c r="U377" s="267">
        <v>42653</v>
      </c>
      <c r="V377" s="269"/>
      <c r="W377" s="366">
        <f>COUNT(RawMaterials[[#This Row],[Lab Quantity 1]:[Lab Quantity 4]])</f>
        <v>0</v>
      </c>
      <c r="X3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7" s="367" t="e">
        <f>RawMaterials[[#This Row],[Lab Price 1]]/RawMaterials[[#This Row],[Lab Q Model Units 1]]</f>
        <v>#N/A</v>
      </c>
      <c r="AC377" s="367" t="e">
        <f>RawMaterials[[#This Row],[Lab Price 2]]/RawMaterials[[#This Row],[Lab Q Model Units 2]]</f>
        <v>#N/A</v>
      </c>
      <c r="AD377" s="367" t="e">
        <f>RawMaterials[[#This Row],[Lab Price 3]]/RawMaterials[[#This Row],[Lab Q Model Units 3]]</f>
        <v>#N/A</v>
      </c>
      <c r="AE377" s="367" t="e">
        <f>RawMaterials[[#This Row],[Lab Price 4]]/RawMaterials[[#This Row],[Lab Q Model Units 4]]</f>
        <v>#N/A</v>
      </c>
      <c r="AF377" s="367" t="str">
        <f ca="1">IF(RawMaterials[[#This Row],[Lab Quote Count]]&gt;1,SLOPE(LOG(INDIRECT("RawMaterials[@[Lab Unit P 1]:[Lab Unit P "&amp;RawMaterials[[#This Row],[Lab Quote Count]]&amp;"]]")),LOG(INDIRECT("RawMaterials[@[Lab Q Model Units 1]:[Lab Q Model Units "&amp;RawMaterials[[#This Row],[Lab Quote Count]]&amp;"]]"))),"")</f>
        <v/>
      </c>
      <c r="AG377" s="367" t="str">
        <f ca="1">IF(RawMaterials[[#This Row],[Lab Quote Count]]&gt;1,INTERCEPT(LOG(INDIRECT("RawMaterials[@[Lab Unit P 1]:[Lab Unit P "&amp;RawMaterials[[#This Row],[Lab Quote Count]]&amp;"]]")),LOG(INDIRECT("RawMaterials[@[Lab Q Model Units 1]:[Lab Q Model Units "&amp;RawMaterials[[#This Row],[Lab Quote Count]]&amp;"]]"))),"")</f>
        <v/>
      </c>
      <c r="AH377" s="368" t="str">
        <f>IF(RawMaterials[[#This Row],[Material Type]]="Metal Precursor","D13",IF(RawMaterials[[#This Row],[Material Type]]="Ligand","D13","D12"))</f>
        <v>D12</v>
      </c>
      <c r="AI377" s="369" t="str">
        <f ca="1">IF(RawMaterials[[#This Row],[Lab Quote Count]]&gt;1,10^RawMaterials[[#This Row],[Lab Log-Log Intercept]]*INDIRECT(RawMaterials[[#This Row],[Basis Cell]])^RawMaterials[[#This Row],[Lab Log-Log Slope]],"&gt;&gt;&gt; Enter 2 or more lab quotes &lt;&lt;&lt;")</f>
        <v>&gt;&gt;&gt; Enter 2 or more lab quotes &lt;&lt;&lt;</v>
      </c>
      <c r="AJ3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377" s="372">
        <f>IF(ISTEXT(RawMaterials[[#This Row],[Unit price in quote year]]),"Check calcs",RawMaterials[[#This Row],[Unit price in quote year]]/VLOOKUP(RawMaterials[[#This Row],[Quote Year]],ChemPPI[],14,FALSE)*VLOOKUP(BasisYear,ChemPPI[],14,FALSE))</f>
        <v>1.2622103658536588</v>
      </c>
      <c r="AM377" s="373" t="str">
        <f t="shared" si="5"/>
        <v>$/lb (2016)</v>
      </c>
    </row>
    <row r="378" spans="1:39">
      <c r="A378" s="263" t="s">
        <v>1477</v>
      </c>
      <c r="B378" s="264"/>
      <c r="C378" s="271"/>
      <c r="D378" s="365"/>
      <c r="E378" s="264">
        <v>100</v>
      </c>
      <c r="F378" s="264"/>
      <c r="G378" s="271"/>
      <c r="H378" s="271"/>
      <c r="I378" s="268"/>
      <c r="J378" s="271"/>
      <c r="K378" s="271"/>
      <c r="L378" s="271"/>
      <c r="M378" s="271"/>
      <c r="N378" s="271"/>
      <c r="O378" s="271"/>
      <c r="P378" s="265">
        <v>0.82499999999999996</v>
      </c>
      <c r="Q378" s="264">
        <v>1</v>
      </c>
      <c r="R378" s="264" t="s">
        <v>20</v>
      </c>
      <c r="S378" s="264">
        <v>2006</v>
      </c>
      <c r="T378" s="266" t="s">
        <v>163</v>
      </c>
      <c r="U378" s="267">
        <v>42653</v>
      </c>
      <c r="V378" s="269"/>
      <c r="W378" s="366">
        <f>COUNT(RawMaterials[[#This Row],[Lab Quantity 1]:[Lab Quantity 4]])</f>
        <v>0</v>
      </c>
      <c r="X3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8" s="367" t="e">
        <f>RawMaterials[[#This Row],[Lab Price 1]]/RawMaterials[[#This Row],[Lab Q Model Units 1]]</f>
        <v>#N/A</v>
      </c>
      <c r="AC378" s="367" t="e">
        <f>RawMaterials[[#This Row],[Lab Price 2]]/RawMaterials[[#This Row],[Lab Q Model Units 2]]</f>
        <v>#N/A</v>
      </c>
      <c r="AD378" s="367" t="e">
        <f>RawMaterials[[#This Row],[Lab Price 3]]/RawMaterials[[#This Row],[Lab Q Model Units 3]]</f>
        <v>#N/A</v>
      </c>
      <c r="AE378" s="367" t="e">
        <f>RawMaterials[[#This Row],[Lab Price 4]]/RawMaterials[[#This Row],[Lab Q Model Units 4]]</f>
        <v>#N/A</v>
      </c>
      <c r="AF378" s="367" t="str">
        <f ca="1">IF(RawMaterials[[#This Row],[Lab Quote Count]]&gt;1,SLOPE(LOG(INDIRECT("RawMaterials[@[Lab Unit P 1]:[Lab Unit P "&amp;RawMaterials[[#This Row],[Lab Quote Count]]&amp;"]]")),LOG(INDIRECT("RawMaterials[@[Lab Q Model Units 1]:[Lab Q Model Units "&amp;RawMaterials[[#This Row],[Lab Quote Count]]&amp;"]]"))),"")</f>
        <v/>
      </c>
      <c r="AG378" s="367" t="str">
        <f ca="1">IF(RawMaterials[[#This Row],[Lab Quote Count]]&gt;1,INTERCEPT(LOG(INDIRECT("RawMaterials[@[Lab Unit P 1]:[Lab Unit P "&amp;RawMaterials[[#This Row],[Lab Quote Count]]&amp;"]]")),LOG(INDIRECT("RawMaterials[@[Lab Q Model Units 1]:[Lab Q Model Units "&amp;RawMaterials[[#This Row],[Lab Quote Count]]&amp;"]]"))),"")</f>
        <v/>
      </c>
      <c r="AH378" s="368" t="str">
        <f>IF(RawMaterials[[#This Row],[Material Type]]="Metal Precursor","D13",IF(RawMaterials[[#This Row],[Material Type]]="Ligand","D13","D12"))</f>
        <v>D12</v>
      </c>
      <c r="AI378" s="369" t="str">
        <f ca="1">IF(RawMaterials[[#This Row],[Lab Quote Count]]&gt;1,10^RawMaterials[[#This Row],[Lab Log-Log Intercept]]*INDIRECT(RawMaterials[[#This Row],[Basis Cell]])^RawMaterials[[#This Row],[Lab Log-Log Slope]],"&gt;&gt;&gt; Enter 2 or more lab quotes &lt;&lt;&lt;")</f>
        <v>&gt;&gt;&gt; Enter 2 or more lab quotes &lt;&lt;&lt;</v>
      </c>
      <c r="AJ3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378" s="372">
        <f>IF(ISTEXT(RawMaterials[[#This Row],[Unit price in quote year]]),"Check calcs",RawMaterials[[#This Row],[Unit price in quote year]]/VLOOKUP(RawMaterials[[#This Row],[Quote Year]],ChemPPI[],14,FALSE)*VLOOKUP(BasisYear,ChemPPI[],14,FALSE))</f>
        <v>1.1197027439024392</v>
      </c>
      <c r="AM378" s="373" t="str">
        <f t="shared" si="5"/>
        <v>$/lb (2016)</v>
      </c>
    </row>
    <row r="379" spans="1:39">
      <c r="A379" s="263" t="s">
        <v>1478</v>
      </c>
      <c r="B379" s="264"/>
      <c r="C379" s="271"/>
      <c r="D379" s="365"/>
      <c r="E379" s="264">
        <v>100</v>
      </c>
      <c r="F379" s="264"/>
      <c r="G379" s="271"/>
      <c r="H379" s="271"/>
      <c r="I379" s="268"/>
      <c r="J379" s="271"/>
      <c r="K379" s="271"/>
      <c r="L379" s="271"/>
      <c r="M379" s="271"/>
      <c r="N379" s="271"/>
      <c r="O379" s="271"/>
      <c r="P379" s="265">
        <v>0.93500000000000005</v>
      </c>
      <c r="Q379" s="264">
        <v>1</v>
      </c>
      <c r="R379" s="264" t="s">
        <v>20</v>
      </c>
      <c r="S379" s="264">
        <v>2006</v>
      </c>
      <c r="T379" s="266" t="s">
        <v>163</v>
      </c>
      <c r="U379" s="267">
        <v>42653</v>
      </c>
      <c r="V379" s="269"/>
      <c r="W379" s="366">
        <f>COUNT(RawMaterials[[#This Row],[Lab Quantity 1]:[Lab Quantity 4]])</f>
        <v>0</v>
      </c>
      <c r="X3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79" s="367" t="e">
        <f>RawMaterials[[#This Row],[Lab Price 1]]/RawMaterials[[#This Row],[Lab Q Model Units 1]]</f>
        <v>#N/A</v>
      </c>
      <c r="AC379" s="367" t="e">
        <f>RawMaterials[[#This Row],[Lab Price 2]]/RawMaterials[[#This Row],[Lab Q Model Units 2]]</f>
        <v>#N/A</v>
      </c>
      <c r="AD379" s="367" t="e">
        <f>RawMaterials[[#This Row],[Lab Price 3]]/RawMaterials[[#This Row],[Lab Q Model Units 3]]</f>
        <v>#N/A</v>
      </c>
      <c r="AE379" s="367" t="e">
        <f>RawMaterials[[#This Row],[Lab Price 4]]/RawMaterials[[#This Row],[Lab Q Model Units 4]]</f>
        <v>#N/A</v>
      </c>
      <c r="AF379" s="367" t="str">
        <f ca="1">IF(RawMaterials[[#This Row],[Lab Quote Count]]&gt;1,SLOPE(LOG(INDIRECT("RawMaterials[@[Lab Unit P 1]:[Lab Unit P "&amp;RawMaterials[[#This Row],[Lab Quote Count]]&amp;"]]")),LOG(INDIRECT("RawMaterials[@[Lab Q Model Units 1]:[Lab Q Model Units "&amp;RawMaterials[[#This Row],[Lab Quote Count]]&amp;"]]"))),"")</f>
        <v/>
      </c>
      <c r="AG379" s="367" t="str">
        <f ca="1">IF(RawMaterials[[#This Row],[Lab Quote Count]]&gt;1,INTERCEPT(LOG(INDIRECT("RawMaterials[@[Lab Unit P 1]:[Lab Unit P "&amp;RawMaterials[[#This Row],[Lab Quote Count]]&amp;"]]")),LOG(INDIRECT("RawMaterials[@[Lab Q Model Units 1]:[Lab Q Model Units "&amp;RawMaterials[[#This Row],[Lab Quote Count]]&amp;"]]"))),"")</f>
        <v/>
      </c>
      <c r="AH379" s="368" t="str">
        <f>IF(RawMaterials[[#This Row],[Material Type]]="Metal Precursor","D13",IF(RawMaterials[[#This Row],[Material Type]]="Ligand","D13","D12"))</f>
        <v>D12</v>
      </c>
      <c r="AI379" s="369" t="str">
        <f ca="1">IF(RawMaterials[[#This Row],[Lab Quote Count]]&gt;1,10^RawMaterials[[#This Row],[Lab Log-Log Intercept]]*INDIRECT(RawMaterials[[#This Row],[Basis Cell]])^RawMaterials[[#This Row],[Lab Log-Log Slope]],"&gt;&gt;&gt; Enter 2 or more lab quotes &lt;&lt;&lt;")</f>
        <v>&gt;&gt;&gt; Enter 2 or more lab quotes &lt;&lt;&lt;</v>
      </c>
      <c r="AJ3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79" s="372">
        <f>IF(ISTEXT(RawMaterials[[#This Row],[Unit price in quote year]]),"Check calcs",RawMaterials[[#This Row],[Unit price in quote year]]/VLOOKUP(RawMaterials[[#This Row],[Quote Year]],ChemPPI[],14,FALSE)*VLOOKUP(BasisYear,ChemPPI[],14,FALSE))</f>
        <v>1.2689964430894314</v>
      </c>
      <c r="AM379" s="373" t="str">
        <f t="shared" si="5"/>
        <v>$/lb (2016)</v>
      </c>
    </row>
    <row r="380" spans="1:39">
      <c r="A380" s="263" t="s">
        <v>1479</v>
      </c>
      <c r="B380" s="264"/>
      <c r="C380" s="271"/>
      <c r="D380" s="365"/>
      <c r="E380" s="264">
        <v>100</v>
      </c>
      <c r="F380" s="264"/>
      <c r="G380" s="271"/>
      <c r="H380" s="271"/>
      <c r="I380" s="268"/>
      <c r="J380" s="271"/>
      <c r="K380" s="271"/>
      <c r="L380" s="271"/>
      <c r="M380" s="271"/>
      <c r="N380" s="271"/>
      <c r="O380" s="271"/>
      <c r="P380" s="265">
        <v>0.83</v>
      </c>
      <c r="Q380" s="264">
        <v>1</v>
      </c>
      <c r="R380" s="264" t="s">
        <v>20</v>
      </c>
      <c r="S380" s="264">
        <v>2006</v>
      </c>
      <c r="T380" s="266" t="s">
        <v>163</v>
      </c>
      <c r="U380" s="267">
        <v>42653</v>
      </c>
      <c r="V380" s="269"/>
      <c r="W380" s="366">
        <f>COUNT(RawMaterials[[#This Row],[Lab Quantity 1]:[Lab Quantity 4]])</f>
        <v>0</v>
      </c>
      <c r="X3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0" s="367" t="e">
        <f>RawMaterials[[#This Row],[Lab Price 1]]/RawMaterials[[#This Row],[Lab Q Model Units 1]]</f>
        <v>#N/A</v>
      </c>
      <c r="AC380" s="367" t="e">
        <f>RawMaterials[[#This Row],[Lab Price 2]]/RawMaterials[[#This Row],[Lab Q Model Units 2]]</f>
        <v>#N/A</v>
      </c>
      <c r="AD380" s="367" t="e">
        <f>RawMaterials[[#This Row],[Lab Price 3]]/RawMaterials[[#This Row],[Lab Q Model Units 3]]</f>
        <v>#N/A</v>
      </c>
      <c r="AE380" s="367" t="e">
        <f>RawMaterials[[#This Row],[Lab Price 4]]/RawMaterials[[#This Row],[Lab Q Model Units 4]]</f>
        <v>#N/A</v>
      </c>
      <c r="AF380" s="367" t="str">
        <f ca="1">IF(RawMaterials[[#This Row],[Lab Quote Count]]&gt;1,SLOPE(LOG(INDIRECT("RawMaterials[@[Lab Unit P 1]:[Lab Unit P "&amp;RawMaterials[[#This Row],[Lab Quote Count]]&amp;"]]")),LOG(INDIRECT("RawMaterials[@[Lab Q Model Units 1]:[Lab Q Model Units "&amp;RawMaterials[[#This Row],[Lab Quote Count]]&amp;"]]"))),"")</f>
        <v/>
      </c>
      <c r="AG380" s="367" t="str">
        <f ca="1">IF(RawMaterials[[#This Row],[Lab Quote Count]]&gt;1,INTERCEPT(LOG(INDIRECT("RawMaterials[@[Lab Unit P 1]:[Lab Unit P "&amp;RawMaterials[[#This Row],[Lab Quote Count]]&amp;"]]")),LOG(INDIRECT("RawMaterials[@[Lab Q Model Units 1]:[Lab Q Model Units "&amp;RawMaterials[[#This Row],[Lab Quote Count]]&amp;"]]"))),"")</f>
        <v/>
      </c>
      <c r="AH380" s="368" t="str">
        <f>IF(RawMaterials[[#This Row],[Material Type]]="Metal Precursor","D13",IF(RawMaterials[[#This Row],[Material Type]]="Ligand","D13","D12"))</f>
        <v>D12</v>
      </c>
      <c r="AI380" s="369" t="str">
        <f ca="1">IF(RawMaterials[[#This Row],[Lab Quote Count]]&gt;1,10^RawMaterials[[#This Row],[Lab Log-Log Intercept]]*INDIRECT(RawMaterials[[#This Row],[Basis Cell]])^RawMaterials[[#This Row],[Lab Log-Log Slope]],"&gt;&gt;&gt; Enter 2 or more lab quotes &lt;&lt;&lt;")</f>
        <v>&gt;&gt;&gt; Enter 2 or more lab quotes &lt;&lt;&lt;</v>
      </c>
      <c r="AJ3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0" s="372">
        <f>IF(ISTEXT(RawMaterials[[#This Row],[Unit price in quote year]]),"Check calcs",RawMaterials[[#This Row],[Unit price in quote year]]/VLOOKUP(RawMaterials[[#This Row],[Quote Year]],ChemPPI[],14,FALSE)*VLOOKUP(BasisYear,ChemPPI[],14,FALSE))</f>
        <v>1.1264888211382116</v>
      </c>
      <c r="AM380" s="373" t="str">
        <f t="shared" si="5"/>
        <v>$/lb (2016)</v>
      </c>
    </row>
    <row r="381" spans="1:39">
      <c r="A381" s="263" t="s">
        <v>1480</v>
      </c>
      <c r="B381" s="264"/>
      <c r="C381" s="271"/>
      <c r="D381" s="365"/>
      <c r="E381" s="264">
        <v>100</v>
      </c>
      <c r="F381" s="264"/>
      <c r="G381" s="271"/>
      <c r="H381" s="271"/>
      <c r="I381" s="268"/>
      <c r="J381" s="271"/>
      <c r="K381" s="271"/>
      <c r="L381" s="271"/>
      <c r="M381" s="271"/>
      <c r="N381" s="271"/>
      <c r="O381" s="271"/>
      <c r="P381" s="265">
        <v>0.91</v>
      </c>
      <c r="Q381" s="264">
        <v>1</v>
      </c>
      <c r="R381" s="264" t="s">
        <v>20</v>
      </c>
      <c r="S381" s="264">
        <v>2006</v>
      </c>
      <c r="T381" s="266" t="s">
        <v>163</v>
      </c>
      <c r="U381" s="267">
        <v>42653</v>
      </c>
      <c r="V381" s="269"/>
      <c r="W381" s="366">
        <f>COUNT(RawMaterials[[#This Row],[Lab Quantity 1]:[Lab Quantity 4]])</f>
        <v>0</v>
      </c>
      <c r="X3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1" s="367" t="e">
        <f>RawMaterials[[#This Row],[Lab Price 1]]/RawMaterials[[#This Row],[Lab Q Model Units 1]]</f>
        <v>#N/A</v>
      </c>
      <c r="AC381" s="367" t="e">
        <f>RawMaterials[[#This Row],[Lab Price 2]]/RawMaterials[[#This Row],[Lab Q Model Units 2]]</f>
        <v>#N/A</v>
      </c>
      <c r="AD381" s="367" t="e">
        <f>RawMaterials[[#This Row],[Lab Price 3]]/RawMaterials[[#This Row],[Lab Q Model Units 3]]</f>
        <v>#N/A</v>
      </c>
      <c r="AE381" s="367" t="e">
        <f>RawMaterials[[#This Row],[Lab Price 4]]/RawMaterials[[#This Row],[Lab Q Model Units 4]]</f>
        <v>#N/A</v>
      </c>
      <c r="AF381" s="367" t="str">
        <f ca="1">IF(RawMaterials[[#This Row],[Lab Quote Count]]&gt;1,SLOPE(LOG(INDIRECT("RawMaterials[@[Lab Unit P 1]:[Lab Unit P "&amp;RawMaterials[[#This Row],[Lab Quote Count]]&amp;"]]")),LOG(INDIRECT("RawMaterials[@[Lab Q Model Units 1]:[Lab Q Model Units "&amp;RawMaterials[[#This Row],[Lab Quote Count]]&amp;"]]"))),"")</f>
        <v/>
      </c>
      <c r="AG381" s="367" t="str">
        <f ca="1">IF(RawMaterials[[#This Row],[Lab Quote Count]]&gt;1,INTERCEPT(LOG(INDIRECT("RawMaterials[@[Lab Unit P 1]:[Lab Unit P "&amp;RawMaterials[[#This Row],[Lab Quote Count]]&amp;"]]")),LOG(INDIRECT("RawMaterials[@[Lab Q Model Units 1]:[Lab Q Model Units "&amp;RawMaterials[[#This Row],[Lab Quote Count]]&amp;"]]"))),"")</f>
        <v/>
      </c>
      <c r="AH381" s="368" t="str">
        <f>IF(RawMaterials[[#This Row],[Material Type]]="Metal Precursor","D13",IF(RawMaterials[[#This Row],[Material Type]]="Ligand","D13","D12"))</f>
        <v>D12</v>
      </c>
      <c r="AI381" s="369" t="str">
        <f ca="1">IF(RawMaterials[[#This Row],[Lab Quote Count]]&gt;1,10^RawMaterials[[#This Row],[Lab Log-Log Intercept]]*INDIRECT(RawMaterials[[#This Row],[Basis Cell]])^RawMaterials[[#This Row],[Lab Log-Log Slope]],"&gt;&gt;&gt; Enter 2 or more lab quotes &lt;&lt;&lt;")</f>
        <v>&gt;&gt;&gt; Enter 2 or more lab quotes &lt;&lt;&lt;</v>
      </c>
      <c r="AJ3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0.91</v>
      </c>
      <c r="AL381" s="372">
        <f>IF(ISTEXT(RawMaterials[[#This Row],[Unit price in quote year]]),"Check calcs",RawMaterials[[#This Row],[Unit price in quote year]]/VLOOKUP(RawMaterials[[#This Row],[Quote Year]],ChemPPI[],14,FALSE)*VLOOKUP(BasisYear,ChemPPI[],14,FALSE))</f>
        <v>1.2350660569105694</v>
      </c>
      <c r="AM381" s="373" t="str">
        <f t="shared" si="5"/>
        <v>$/lb (2016)</v>
      </c>
    </row>
    <row r="382" spans="1:39">
      <c r="A382" s="263" t="s">
        <v>1481</v>
      </c>
      <c r="B382" s="264"/>
      <c r="C382" s="271"/>
      <c r="D382" s="365"/>
      <c r="E382" s="264">
        <v>100</v>
      </c>
      <c r="F382" s="264"/>
      <c r="G382" s="271"/>
      <c r="H382" s="271"/>
      <c r="I382" s="268"/>
      <c r="J382" s="271"/>
      <c r="K382" s="271"/>
      <c r="L382" s="271"/>
      <c r="M382" s="271"/>
      <c r="N382" s="271"/>
      <c r="O382" s="271"/>
      <c r="P382" s="265">
        <v>0.80500000000000005</v>
      </c>
      <c r="Q382" s="264">
        <v>1</v>
      </c>
      <c r="R382" s="264" t="s">
        <v>20</v>
      </c>
      <c r="S382" s="264">
        <v>2006</v>
      </c>
      <c r="T382" s="266" t="s">
        <v>163</v>
      </c>
      <c r="U382" s="267">
        <v>42653</v>
      </c>
      <c r="V382" s="269"/>
      <c r="W382" s="366">
        <f>COUNT(RawMaterials[[#This Row],[Lab Quantity 1]:[Lab Quantity 4]])</f>
        <v>0</v>
      </c>
      <c r="X3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2" s="367" t="e">
        <f>RawMaterials[[#This Row],[Lab Price 1]]/RawMaterials[[#This Row],[Lab Q Model Units 1]]</f>
        <v>#N/A</v>
      </c>
      <c r="AC382" s="367" t="e">
        <f>RawMaterials[[#This Row],[Lab Price 2]]/RawMaterials[[#This Row],[Lab Q Model Units 2]]</f>
        <v>#N/A</v>
      </c>
      <c r="AD382" s="367" t="e">
        <f>RawMaterials[[#This Row],[Lab Price 3]]/RawMaterials[[#This Row],[Lab Q Model Units 3]]</f>
        <v>#N/A</v>
      </c>
      <c r="AE382" s="367" t="e">
        <f>RawMaterials[[#This Row],[Lab Price 4]]/RawMaterials[[#This Row],[Lab Q Model Units 4]]</f>
        <v>#N/A</v>
      </c>
      <c r="AF382" s="367" t="str">
        <f ca="1">IF(RawMaterials[[#This Row],[Lab Quote Count]]&gt;1,SLOPE(LOG(INDIRECT("RawMaterials[@[Lab Unit P 1]:[Lab Unit P "&amp;RawMaterials[[#This Row],[Lab Quote Count]]&amp;"]]")),LOG(INDIRECT("RawMaterials[@[Lab Q Model Units 1]:[Lab Q Model Units "&amp;RawMaterials[[#This Row],[Lab Quote Count]]&amp;"]]"))),"")</f>
        <v/>
      </c>
      <c r="AG382" s="367" t="str">
        <f ca="1">IF(RawMaterials[[#This Row],[Lab Quote Count]]&gt;1,INTERCEPT(LOG(INDIRECT("RawMaterials[@[Lab Unit P 1]:[Lab Unit P "&amp;RawMaterials[[#This Row],[Lab Quote Count]]&amp;"]]")),LOG(INDIRECT("RawMaterials[@[Lab Q Model Units 1]:[Lab Q Model Units "&amp;RawMaterials[[#This Row],[Lab Quote Count]]&amp;"]]"))),"")</f>
        <v/>
      </c>
      <c r="AH382" s="368" t="str">
        <f>IF(RawMaterials[[#This Row],[Material Type]]="Metal Precursor","D13",IF(RawMaterials[[#This Row],[Material Type]]="Ligand","D13","D12"))</f>
        <v>D12</v>
      </c>
      <c r="AI382" s="369" t="str">
        <f ca="1">IF(RawMaterials[[#This Row],[Lab Quote Count]]&gt;1,10^RawMaterials[[#This Row],[Lab Log-Log Intercept]]*INDIRECT(RawMaterials[[#This Row],[Basis Cell]])^RawMaterials[[#This Row],[Lab Log-Log Slope]],"&gt;&gt;&gt; Enter 2 or more lab quotes &lt;&lt;&lt;")</f>
        <v>&gt;&gt;&gt; Enter 2 or more lab quotes &lt;&lt;&lt;</v>
      </c>
      <c r="AJ3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382" s="372">
        <f>IF(ISTEXT(RawMaterials[[#This Row],[Unit price in quote year]]),"Check calcs",RawMaterials[[#This Row],[Unit price in quote year]]/VLOOKUP(RawMaterials[[#This Row],[Quote Year]],ChemPPI[],14,FALSE)*VLOOKUP(BasisYear,ChemPPI[],14,FALSE))</f>
        <v>1.0925584349593498</v>
      </c>
      <c r="AM382" s="373" t="str">
        <f t="shared" si="5"/>
        <v>$/lb (2016)</v>
      </c>
    </row>
    <row r="383" spans="1:39">
      <c r="A383" s="263" t="s">
        <v>1482</v>
      </c>
      <c r="B383" s="264"/>
      <c r="C383" s="271"/>
      <c r="D383" s="365"/>
      <c r="E383" s="264">
        <v>100</v>
      </c>
      <c r="F383" s="264"/>
      <c r="G383" s="271"/>
      <c r="H383" s="271"/>
      <c r="I383" s="268"/>
      <c r="J383" s="271"/>
      <c r="K383" s="271"/>
      <c r="L383" s="271"/>
      <c r="M383" s="271"/>
      <c r="N383" s="271"/>
      <c r="O383" s="271"/>
      <c r="P383" s="265">
        <v>0.83</v>
      </c>
      <c r="Q383" s="264">
        <v>1</v>
      </c>
      <c r="R383" s="264" t="s">
        <v>20</v>
      </c>
      <c r="S383" s="264">
        <v>2006</v>
      </c>
      <c r="T383" s="266" t="s">
        <v>163</v>
      </c>
      <c r="U383" s="267">
        <v>42653</v>
      </c>
      <c r="V383" s="269"/>
      <c r="W383" s="366">
        <f>COUNT(RawMaterials[[#This Row],[Lab Quantity 1]:[Lab Quantity 4]])</f>
        <v>0</v>
      </c>
      <c r="X3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3" s="367" t="e">
        <f>RawMaterials[[#This Row],[Lab Price 1]]/RawMaterials[[#This Row],[Lab Q Model Units 1]]</f>
        <v>#N/A</v>
      </c>
      <c r="AC383" s="367" t="e">
        <f>RawMaterials[[#This Row],[Lab Price 2]]/RawMaterials[[#This Row],[Lab Q Model Units 2]]</f>
        <v>#N/A</v>
      </c>
      <c r="AD383" s="367" t="e">
        <f>RawMaterials[[#This Row],[Lab Price 3]]/RawMaterials[[#This Row],[Lab Q Model Units 3]]</f>
        <v>#N/A</v>
      </c>
      <c r="AE383" s="367" t="e">
        <f>RawMaterials[[#This Row],[Lab Price 4]]/RawMaterials[[#This Row],[Lab Q Model Units 4]]</f>
        <v>#N/A</v>
      </c>
      <c r="AF383" s="367" t="str">
        <f ca="1">IF(RawMaterials[[#This Row],[Lab Quote Count]]&gt;1,SLOPE(LOG(INDIRECT("RawMaterials[@[Lab Unit P 1]:[Lab Unit P "&amp;RawMaterials[[#This Row],[Lab Quote Count]]&amp;"]]")),LOG(INDIRECT("RawMaterials[@[Lab Q Model Units 1]:[Lab Q Model Units "&amp;RawMaterials[[#This Row],[Lab Quote Count]]&amp;"]]"))),"")</f>
        <v/>
      </c>
      <c r="AG383" s="367" t="str">
        <f ca="1">IF(RawMaterials[[#This Row],[Lab Quote Count]]&gt;1,INTERCEPT(LOG(INDIRECT("RawMaterials[@[Lab Unit P 1]:[Lab Unit P "&amp;RawMaterials[[#This Row],[Lab Quote Count]]&amp;"]]")),LOG(INDIRECT("RawMaterials[@[Lab Q Model Units 1]:[Lab Q Model Units "&amp;RawMaterials[[#This Row],[Lab Quote Count]]&amp;"]]"))),"")</f>
        <v/>
      </c>
      <c r="AH383" s="368" t="str">
        <f>IF(RawMaterials[[#This Row],[Material Type]]="Metal Precursor","D13",IF(RawMaterials[[#This Row],[Material Type]]="Ligand","D13","D12"))</f>
        <v>D12</v>
      </c>
      <c r="AI383" s="369" t="str">
        <f ca="1">IF(RawMaterials[[#This Row],[Lab Quote Count]]&gt;1,10^RawMaterials[[#This Row],[Lab Log-Log Intercept]]*INDIRECT(RawMaterials[[#This Row],[Basis Cell]])^RawMaterials[[#This Row],[Lab Log-Log Slope]],"&gt;&gt;&gt; Enter 2 or more lab quotes &lt;&lt;&lt;")</f>
        <v>&gt;&gt;&gt; Enter 2 or more lab quotes &lt;&lt;&lt;</v>
      </c>
      <c r="AJ3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v>
      </c>
      <c r="AL383" s="372">
        <f>IF(ISTEXT(RawMaterials[[#This Row],[Unit price in quote year]]),"Check calcs",RawMaterials[[#This Row],[Unit price in quote year]]/VLOOKUP(RawMaterials[[#This Row],[Quote Year]],ChemPPI[],14,FALSE)*VLOOKUP(BasisYear,ChemPPI[],14,FALSE))</f>
        <v>1.1264888211382116</v>
      </c>
      <c r="AM383" s="373" t="str">
        <f t="shared" si="5"/>
        <v>$/lb (2016)</v>
      </c>
    </row>
    <row r="384" spans="1:39">
      <c r="A384" s="263" t="s">
        <v>1483</v>
      </c>
      <c r="B384" s="264"/>
      <c r="C384" s="271"/>
      <c r="D384" s="365"/>
      <c r="E384" s="264">
        <v>100</v>
      </c>
      <c r="F384" s="264"/>
      <c r="G384" s="271"/>
      <c r="H384" s="271"/>
      <c r="I384" s="268"/>
      <c r="J384" s="271"/>
      <c r="K384" s="271"/>
      <c r="L384" s="271"/>
      <c r="M384" s="271"/>
      <c r="N384" s="271"/>
      <c r="O384" s="271"/>
      <c r="P384" s="265">
        <v>0.93500000000000005</v>
      </c>
      <c r="Q384" s="264">
        <v>1</v>
      </c>
      <c r="R384" s="264" t="s">
        <v>20</v>
      </c>
      <c r="S384" s="264">
        <v>2006</v>
      </c>
      <c r="T384" s="266" t="s">
        <v>163</v>
      </c>
      <c r="U384" s="267">
        <v>42653</v>
      </c>
      <c r="V384" s="269"/>
      <c r="W384" s="366">
        <f>COUNT(RawMaterials[[#This Row],[Lab Quantity 1]:[Lab Quantity 4]])</f>
        <v>0</v>
      </c>
      <c r="X3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4" s="367" t="e">
        <f>RawMaterials[[#This Row],[Lab Price 1]]/RawMaterials[[#This Row],[Lab Q Model Units 1]]</f>
        <v>#N/A</v>
      </c>
      <c r="AC384" s="367" t="e">
        <f>RawMaterials[[#This Row],[Lab Price 2]]/RawMaterials[[#This Row],[Lab Q Model Units 2]]</f>
        <v>#N/A</v>
      </c>
      <c r="AD384" s="367" t="e">
        <f>RawMaterials[[#This Row],[Lab Price 3]]/RawMaterials[[#This Row],[Lab Q Model Units 3]]</f>
        <v>#N/A</v>
      </c>
      <c r="AE384" s="367" t="e">
        <f>RawMaterials[[#This Row],[Lab Price 4]]/RawMaterials[[#This Row],[Lab Q Model Units 4]]</f>
        <v>#N/A</v>
      </c>
      <c r="AF384" s="367" t="str">
        <f ca="1">IF(RawMaterials[[#This Row],[Lab Quote Count]]&gt;1,SLOPE(LOG(INDIRECT("RawMaterials[@[Lab Unit P 1]:[Lab Unit P "&amp;RawMaterials[[#This Row],[Lab Quote Count]]&amp;"]]")),LOG(INDIRECT("RawMaterials[@[Lab Q Model Units 1]:[Lab Q Model Units "&amp;RawMaterials[[#This Row],[Lab Quote Count]]&amp;"]]"))),"")</f>
        <v/>
      </c>
      <c r="AG384" s="367" t="str">
        <f ca="1">IF(RawMaterials[[#This Row],[Lab Quote Count]]&gt;1,INTERCEPT(LOG(INDIRECT("RawMaterials[@[Lab Unit P 1]:[Lab Unit P "&amp;RawMaterials[[#This Row],[Lab Quote Count]]&amp;"]]")),LOG(INDIRECT("RawMaterials[@[Lab Q Model Units 1]:[Lab Q Model Units "&amp;RawMaterials[[#This Row],[Lab Quote Count]]&amp;"]]"))),"")</f>
        <v/>
      </c>
      <c r="AH384" s="368" t="str">
        <f>IF(RawMaterials[[#This Row],[Material Type]]="Metal Precursor","D13",IF(RawMaterials[[#This Row],[Material Type]]="Ligand","D13","D12"))</f>
        <v>D12</v>
      </c>
      <c r="AI384" s="369" t="str">
        <f ca="1">IF(RawMaterials[[#This Row],[Lab Quote Count]]&gt;1,10^RawMaterials[[#This Row],[Lab Log-Log Intercept]]*INDIRECT(RawMaterials[[#This Row],[Basis Cell]])^RawMaterials[[#This Row],[Lab Log-Log Slope]],"&gt;&gt;&gt; Enter 2 or more lab quotes &lt;&lt;&lt;")</f>
        <v>&gt;&gt;&gt; Enter 2 or more lab quotes &lt;&lt;&lt;</v>
      </c>
      <c r="AJ3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0.93500000000000005</v>
      </c>
      <c r="AL384" s="372">
        <f>IF(ISTEXT(RawMaterials[[#This Row],[Unit price in quote year]]),"Check calcs",RawMaterials[[#This Row],[Unit price in quote year]]/VLOOKUP(RawMaterials[[#This Row],[Quote Year]],ChemPPI[],14,FALSE)*VLOOKUP(BasisYear,ChemPPI[],14,FALSE))</f>
        <v>1.2689964430894314</v>
      </c>
      <c r="AM384" s="373" t="str">
        <f t="shared" si="5"/>
        <v>$/lb (2016)</v>
      </c>
    </row>
    <row r="385" spans="1:39">
      <c r="A385" s="263" t="s">
        <v>1484</v>
      </c>
      <c r="B385" s="264"/>
      <c r="C385" s="271"/>
      <c r="D385" s="365"/>
      <c r="E385" s="264">
        <v>100</v>
      </c>
      <c r="F385" s="264"/>
      <c r="G385" s="271"/>
      <c r="H385" s="271"/>
      <c r="I385" s="268"/>
      <c r="J385" s="271"/>
      <c r="K385" s="271"/>
      <c r="L385" s="271"/>
      <c r="M385" s="271"/>
      <c r="N385" s="271"/>
      <c r="O385" s="271"/>
      <c r="P385" s="265">
        <v>0.82</v>
      </c>
      <c r="Q385" s="264">
        <v>1</v>
      </c>
      <c r="R385" s="264" t="s">
        <v>20</v>
      </c>
      <c r="S385" s="264">
        <v>2008</v>
      </c>
      <c r="T385" s="266" t="s">
        <v>163</v>
      </c>
      <c r="U385" s="267">
        <v>42653</v>
      </c>
      <c r="V385" s="269"/>
      <c r="W385" s="366">
        <f>COUNT(RawMaterials[[#This Row],[Lab Quantity 1]:[Lab Quantity 4]])</f>
        <v>0</v>
      </c>
      <c r="X3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5" s="367" t="e">
        <f>RawMaterials[[#This Row],[Lab Price 1]]/RawMaterials[[#This Row],[Lab Q Model Units 1]]</f>
        <v>#N/A</v>
      </c>
      <c r="AC385" s="367" t="e">
        <f>RawMaterials[[#This Row],[Lab Price 2]]/RawMaterials[[#This Row],[Lab Q Model Units 2]]</f>
        <v>#N/A</v>
      </c>
      <c r="AD385" s="367" t="e">
        <f>RawMaterials[[#This Row],[Lab Price 3]]/RawMaterials[[#This Row],[Lab Q Model Units 3]]</f>
        <v>#N/A</v>
      </c>
      <c r="AE385" s="367" t="e">
        <f>RawMaterials[[#This Row],[Lab Price 4]]/RawMaterials[[#This Row],[Lab Q Model Units 4]]</f>
        <v>#N/A</v>
      </c>
      <c r="AF385" s="367" t="str">
        <f ca="1">IF(RawMaterials[[#This Row],[Lab Quote Count]]&gt;1,SLOPE(LOG(INDIRECT("RawMaterials[@[Lab Unit P 1]:[Lab Unit P "&amp;RawMaterials[[#This Row],[Lab Quote Count]]&amp;"]]")),LOG(INDIRECT("RawMaterials[@[Lab Q Model Units 1]:[Lab Q Model Units "&amp;RawMaterials[[#This Row],[Lab Quote Count]]&amp;"]]"))),"")</f>
        <v/>
      </c>
      <c r="AG385" s="367" t="str">
        <f ca="1">IF(RawMaterials[[#This Row],[Lab Quote Count]]&gt;1,INTERCEPT(LOG(INDIRECT("RawMaterials[@[Lab Unit P 1]:[Lab Unit P "&amp;RawMaterials[[#This Row],[Lab Quote Count]]&amp;"]]")),LOG(INDIRECT("RawMaterials[@[Lab Q Model Units 1]:[Lab Q Model Units "&amp;RawMaterials[[#This Row],[Lab Quote Count]]&amp;"]]"))),"")</f>
        <v/>
      </c>
      <c r="AH385" s="368" t="str">
        <f>IF(RawMaterials[[#This Row],[Material Type]]="Metal Precursor","D13",IF(RawMaterials[[#This Row],[Material Type]]="Ligand","D13","D12"))</f>
        <v>D12</v>
      </c>
      <c r="AI385" s="369" t="str">
        <f ca="1">IF(RawMaterials[[#This Row],[Lab Quote Count]]&gt;1,10^RawMaterials[[#This Row],[Lab Log-Log Intercept]]*INDIRECT(RawMaterials[[#This Row],[Basis Cell]])^RawMaterials[[#This Row],[Lab Log-Log Slope]],"&gt;&gt;&gt; Enter 2 or more lab quotes &lt;&lt;&lt;")</f>
        <v>&gt;&gt;&gt; Enter 2 or more lab quotes &lt;&lt;&lt;</v>
      </c>
      <c r="AJ3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v>
      </c>
      <c r="AL385" s="372">
        <f>IF(ISTEXT(RawMaterials[[#This Row],[Unit price in quote year]]),"Check calcs",RawMaterials[[#This Row],[Unit price in quote year]]/VLOOKUP(RawMaterials[[#This Row],[Quote Year]],ChemPPI[],14,FALSE)*VLOOKUP(BasisYear,ChemPPI[],14,FALSE))</f>
        <v>0.95974584626620407</v>
      </c>
      <c r="AM385" s="373" t="str">
        <f t="shared" si="5"/>
        <v>$/lb (2016)</v>
      </c>
    </row>
    <row r="386" spans="1:39">
      <c r="A386" s="263" t="s">
        <v>1485</v>
      </c>
      <c r="B386" s="264"/>
      <c r="C386" s="271"/>
      <c r="D386" s="365"/>
      <c r="E386" s="264">
        <v>100</v>
      </c>
      <c r="F386" s="264"/>
      <c r="G386" s="271"/>
      <c r="H386" s="271"/>
      <c r="I386" s="268"/>
      <c r="J386" s="271"/>
      <c r="K386" s="271"/>
      <c r="L386" s="271"/>
      <c r="M386" s="271"/>
      <c r="N386" s="271"/>
      <c r="O386" s="271"/>
      <c r="P386" s="265">
        <v>0.68500000000000005</v>
      </c>
      <c r="Q386" s="264">
        <v>1</v>
      </c>
      <c r="R386" s="264" t="s">
        <v>20</v>
      </c>
      <c r="S386" s="264">
        <v>2008</v>
      </c>
      <c r="T386" s="266" t="s">
        <v>163</v>
      </c>
      <c r="U386" s="267">
        <v>42653</v>
      </c>
      <c r="V386" s="269"/>
      <c r="W386" s="366">
        <f>COUNT(RawMaterials[[#This Row],[Lab Quantity 1]:[Lab Quantity 4]])</f>
        <v>0</v>
      </c>
      <c r="X3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6" s="367" t="e">
        <f>RawMaterials[[#This Row],[Lab Price 1]]/RawMaterials[[#This Row],[Lab Q Model Units 1]]</f>
        <v>#N/A</v>
      </c>
      <c r="AC386" s="367" t="e">
        <f>RawMaterials[[#This Row],[Lab Price 2]]/RawMaterials[[#This Row],[Lab Q Model Units 2]]</f>
        <v>#N/A</v>
      </c>
      <c r="AD386" s="367" t="e">
        <f>RawMaterials[[#This Row],[Lab Price 3]]/RawMaterials[[#This Row],[Lab Q Model Units 3]]</f>
        <v>#N/A</v>
      </c>
      <c r="AE386" s="367" t="e">
        <f>RawMaterials[[#This Row],[Lab Price 4]]/RawMaterials[[#This Row],[Lab Q Model Units 4]]</f>
        <v>#N/A</v>
      </c>
      <c r="AF386" s="367" t="str">
        <f ca="1">IF(RawMaterials[[#This Row],[Lab Quote Count]]&gt;1,SLOPE(LOG(INDIRECT("RawMaterials[@[Lab Unit P 1]:[Lab Unit P "&amp;RawMaterials[[#This Row],[Lab Quote Count]]&amp;"]]")),LOG(INDIRECT("RawMaterials[@[Lab Q Model Units 1]:[Lab Q Model Units "&amp;RawMaterials[[#This Row],[Lab Quote Count]]&amp;"]]"))),"")</f>
        <v/>
      </c>
      <c r="AG386" s="367" t="str">
        <f ca="1">IF(RawMaterials[[#This Row],[Lab Quote Count]]&gt;1,INTERCEPT(LOG(INDIRECT("RawMaterials[@[Lab Unit P 1]:[Lab Unit P "&amp;RawMaterials[[#This Row],[Lab Quote Count]]&amp;"]]")),LOG(INDIRECT("RawMaterials[@[Lab Q Model Units 1]:[Lab Q Model Units "&amp;RawMaterials[[#This Row],[Lab Quote Count]]&amp;"]]"))),"")</f>
        <v/>
      </c>
      <c r="AH386" s="368" t="str">
        <f>IF(RawMaterials[[#This Row],[Material Type]]="Metal Precursor","D13",IF(RawMaterials[[#This Row],[Material Type]]="Ligand","D13","D12"))</f>
        <v>D12</v>
      </c>
      <c r="AI386" s="369" t="str">
        <f ca="1">IF(RawMaterials[[#This Row],[Lab Quote Count]]&gt;1,10^RawMaterials[[#This Row],[Lab Log-Log Intercept]]*INDIRECT(RawMaterials[[#This Row],[Basis Cell]])^RawMaterials[[#This Row],[Lab Log-Log Slope]],"&gt;&gt;&gt; Enter 2 or more lab quotes &lt;&lt;&lt;")</f>
        <v>&gt;&gt;&gt; Enter 2 or more lab quotes &lt;&lt;&lt;</v>
      </c>
      <c r="AJ3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386" s="372">
        <f>IF(ISTEXT(RawMaterials[[#This Row],[Unit price in quote year]]),"Check calcs",RawMaterials[[#This Row],[Unit price in quote year]]/VLOOKUP(RawMaterials[[#This Row],[Quote Year]],ChemPPI[],14,FALSE)*VLOOKUP(BasisYear,ChemPPI[],14,FALSE))</f>
        <v>0.80173890816140225</v>
      </c>
      <c r="AM386" s="373" t="str">
        <f t="shared" si="5"/>
        <v>$/lb (2016)</v>
      </c>
    </row>
    <row r="387" spans="1:39">
      <c r="A387" s="263" t="s">
        <v>1486</v>
      </c>
      <c r="B387" s="264"/>
      <c r="C387" s="271"/>
      <c r="D387" s="365"/>
      <c r="E387" s="264">
        <v>100</v>
      </c>
      <c r="F387" s="264"/>
      <c r="G387" s="271"/>
      <c r="H387" s="271"/>
      <c r="I387" s="268"/>
      <c r="J387" s="271"/>
      <c r="K387" s="271"/>
      <c r="L387" s="271"/>
      <c r="M387" s="271"/>
      <c r="N387" s="271"/>
      <c r="O387" s="271"/>
      <c r="P387" s="265">
        <v>0.74</v>
      </c>
      <c r="Q387" s="264">
        <v>1</v>
      </c>
      <c r="R387" s="264" t="s">
        <v>20</v>
      </c>
      <c r="S387" s="264">
        <v>2006</v>
      </c>
      <c r="T387" s="266" t="s">
        <v>163</v>
      </c>
      <c r="U387" s="267">
        <v>42653</v>
      </c>
      <c r="V387" s="269"/>
      <c r="W387" s="366">
        <f>COUNT(RawMaterials[[#This Row],[Lab Quantity 1]:[Lab Quantity 4]])</f>
        <v>0</v>
      </c>
      <c r="X3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7" s="367" t="e">
        <f>RawMaterials[[#This Row],[Lab Price 1]]/RawMaterials[[#This Row],[Lab Q Model Units 1]]</f>
        <v>#N/A</v>
      </c>
      <c r="AC387" s="367" t="e">
        <f>RawMaterials[[#This Row],[Lab Price 2]]/RawMaterials[[#This Row],[Lab Q Model Units 2]]</f>
        <v>#N/A</v>
      </c>
      <c r="AD387" s="367" t="e">
        <f>RawMaterials[[#This Row],[Lab Price 3]]/RawMaterials[[#This Row],[Lab Q Model Units 3]]</f>
        <v>#N/A</v>
      </c>
      <c r="AE387" s="367" t="e">
        <f>RawMaterials[[#This Row],[Lab Price 4]]/RawMaterials[[#This Row],[Lab Q Model Units 4]]</f>
        <v>#N/A</v>
      </c>
      <c r="AF387" s="367" t="str">
        <f ca="1">IF(RawMaterials[[#This Row],[Lab Quote Count]]&gt;1,SLOPE(LOG(INDIRECT("RawMaterials[@[Lab Unit P 1]:[Lab Unit P "&amp;RawMaterials[[#This Row],[Lab Quote Count]]&amp;"]]")),LOG(INDIRECT("RawMaterials[@[Lab Q Model Units 1]:[Lab Q Model Units "&amp;RawMaterials[[#This Row],[Lab Quote Count]]&amp;"]]"))),"")</f>
        <v/>
      </c>
      <c r="AG387" s="367" t="str">
        <f ca="1">IF(RawMaterials[[#This Row],[Lab Quote Count]]&gt;1,INTERCEPT(LOG(INDIRECT("RawMaterials[@[Lab Unit P 1]:[Lab Unit P "&amp;RawMaterials[[#This Row],[Lab Quote Count]]&amp;"]]")),LOG(INDIRECT("RawMaterials[@[Lab Q Model Units 1]:[Lab Q Model Units "&amp;RawMaterials[[#This Row],[Lab Quote Count]]&amp;"]]"))),"")</f>
        <v/>
      </c>
      <c r="AH387" s="368" t="str">
        <f>IF(RawMaterials[[#This Row],[Material Type]]="Metal Precursor","D13",IF(RawMaterials[[#This Row],[Material Type]]="Ligand","D13","D12"))</f>
        <v>D12</v>
      </c>
      <c r="AI387" s="369" t="str">
        <f ca="1">IF(RawMaterials[[#This Row],[Lab Quote Count]]&gt;1,10^RawMaterials[[#This Row],[Lab Log-Log Intercept]]*INDIRECT(RawMaterials[[#This Row],[Basis Cell]])^RawMaterials[[#This Row],[Lab Log-Log Slope]],"&gt;&gt;&gt; Enter 2 or more lab quotes &lt;&lt;&lt;")</f>
        <v>&gt;&gt;&gt; Enter 2 or more lab quotes &lt;&lt;&lt;</v>
      </c>
      <c r="AJ3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0.74</v>
      </c>
      <c r="AL387" s="372">
        <f>IF(ISTEXT(RawMaterials[[#This Row],[Unit price in quote year]]),"Check calcs",RawMaterials[[#This Row],[Unit price in quote year]]/VLOOKUP(RawMaterials[[#This Row],[Quote Year]],ChemPPI[],14,FALSE)*VLOOKUP(BasisYear,ChemPPI[],14,FALSE))</f>
        <v>1.004339430894309</v>
      </c>
      <c r="AM387" s="373" t="str">
        <f t="shared" si="5"/>
        <v>$/lb (2016)</v>
      </c>
    </row>
    <row r="388" spans="1:39">
      <c r="A388" s="263" t="s">
        <v>1487</v>
      </c>
      <c r="B388" s="264"/>
      <c r="C388" s="271"/>
      <c r="D388" s="365"/>
      <c r="E388" s="264">
        <v>100</v>
      </c>
      <c r="F388" s="264"/>
      <c r="G388" s="271"/>
      <c r="H388" s="271"/>
      <c r="I388" s="268"/>
      <c r="J388" s="271"/>
      <c r="K388" s="271"/>
      <c r="L388" s="271"/>
      <c r="M388" s="271"/>
      <c r="N388" s="271"/>
      <c r="O388" s="271"/>
      <c r="P388" s="265">
        <v>36</v>
      </c>
      <c r="Q388" s="264">
        <v>100</v>
      </c>
      <c r="R388" s="264" t="s">
        <v>20</v>
      </c>
      <c r="S388" s="264">
        <v>2006</v>
      </c>
      <c r="T388" s="266" t="s">
        <v>163</v>
      </c>
      <c r="U388" s="267">
        <v>42653</v>
      </c>
      <c r="V388" s="269"/>
      <c r="W388" s="366">
        <f>COUNT(RawMaterials[[#This Row],[Lab Quantity 1]:[Lab Quantity 4]])</f>
        <v>0</v>
      </c>
      <c r="X3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8" s="367" t="e">
        <f>RawMaterials[[#This Row],[Lab Price 1]]/RawMaterials[[#This Row],[Lab Q Model Units 1]]</f>
        <v>#N/A</v>
      </c>
      <c r="AC388" s="367" t="e">
        <f>RawMaterials[[#This Row],[Lab Price 2]]/RawMaterials[[#This Row],[Lab Q Model Units 2]]</f>
        <v>#N/A</v>
      </c>
      <c r="AD388" s="367" t="e">
        <f>RawMaterials[[#This Row],[Lab Price 3]]/RawMaterials[[#This Row],[Lab Q Model Units 3]]</f>
        <v>#N/A</v>
      </c>
      <c r="AE388" s="367" t="e">
        <f>RawMaterials[[#This Row],[Lab Price 4]]/RawMaterials[[#This Row],[Lab Q Model Units 4]]</f>
        <v>#N/A</v>
      </c>
      <c r="AF388" s="367" t="str">
        <f ca="1">IF(RawMaterials[[#This Row],[Lab Quote Count]]&gt;1,SLOPE(LOG(INDIRECT("RawMaterials[@[Lab Unit P 1]:[Lab Unit P "&amp;RawMaterials[[#This Row],[Lab Quote Count]]&amp;"]]")),LOG(INDIRECT("RawMaterials[@[Lab Q Model Units 1]:[Lab Q Model Units "&amp;RawMaterials[[#This Row],[Lab Quote Count]]&amp;"]]"))),"")</f>
        <v/>
      </c>
      <c r="AG388" s="367" t="str">
        <f ca="1">IF(RawMaterials[[#This Row],[Lab Quote Count]]&gt;1,INTERCEPT(LOG(INDIRECT("RawMaterials[@[Lab Unit P 1]:[Lab Unit P "&amp;RawMaterials[[#This Row],[Lab Quote Count]]&amp;"]]")),LOG(INDIRECT("RawMaterials[@[Lab Q Model Units 1]:[Lab Q Model Units "&amp;RawMaterials[[#This Row],[Lab Quote Count]]&amp;"]]"))),"")</f>
        <v/>
      </c>
      <c r="AH388" s="368" t="str">
        <f>IF(RawMaterials[[#This Row],[Material Type]]="Metal Precursor","D13",IF(RawMaterials[[#This Row],[Material Type]]="Ligand","D13","D12"))</f>
        <v>D12</v>
      </c>
      <c r="AI388" s="369" t="str">
        <f ca="1">IF(RawMaterials[[#This Row],[Lab Quote Count]]&gt;1,10^RawMaterials[[#This Row],[Lab Log-Log Intercept]]*INDIRECT(RawMaterials[[#This Row],[Basis Cell]])^RawMaterials[[#This Row],[Lab Log-Log Slope]],"&gt;&gt;&gt; Enter 2 or more lab quotes &lt;&lt;&lt;")</f>
        <v>&gt;&gt;&gt; Enter 2 or more lab quotes &lt;&lt;&lt;</v>
      </c>
      <c r="AJ3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388" s="372">
        <f>IF(ISTEXT(RawMaterials[[#This Row],[Unit price in quote year]]),"Check calcs",RawMaterials[[#This Row],[Unit price in quote year]]/VLOOKUP(RawMaterials[[#This Row],[Quote Year]],ChemPPI[],14,FALSE)*VLOOKUP(BasisYear,ChemPPI[],14,FALSE))</f>
        <v>0.4885975609756098</v>
      </c>
      <c r="AM388" s="373" t="str">
        <f t="shared" si="5"/>
        <v>$/lb (2016)</v>
      </c>
    </row>
    <row r="389" spans="1:39">
      <c r="A389" s="263" t="s">
        <v>1488</v>
      </c>
      <c r="B389" s="264"/>
      <c r="C389" s="271"/>
      <c r="D389" s="365"/>
      <c r="E389" s="264">
        <v>100</v>
      </c>
      <c r="F389" s="264"/>
      <c r="G389" s="271"/>
      <c r="H389" s="271"/>
      <c r="I389" s="268"/>
      <c r="J389" s="271"/>
      <c r="K389" s="271"/>
      <c r="L389" s="271"/>
      <c r="M389" s="271"/>
      <c r="N389" s="271"/>
      <c r="O389" s="271"/>
      <c r="P389" s="265">
        <v>37.700000000000003</v>
      </c>
      <c r="Q389" s="264">
        <v>100</v>
      </c>
      <c r="R389" s="264" t="s">
        <v>20</v>
      </c>
      <c r="S389" s="264">
        <v>2006</v>
      </c>
      <c r="T389" s="266" t="s">
        <v>163</v>
      </c>
      <c r="U389" s="267">
        <v>42653</v>
      </c>
      <c r="V389" s="269"/>
      <c r="W389" s="366">
        <f>COUNT(RawMaterials[[#This Row],[Lab Quantity 1]:[Lab Quantity 4]])</f>
        <v>0</v>
      </c>
      <c r="X3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89" s="367" t="e">
        <f>RawMaterials[[#This Row],[Lab Price 1]]/RawMaterials[[#This Row],[Lab Q Model Units 1]]</f>
        <v>#N/A</v>
      </c>
      <c r="AC389" s="367" t="e">
        <f>RawMaterials[[#This Row],[Lab Price 2]]/RawMaterials[[#This Row],[Lab Q Model Units 2]]</f>
        <v>#N/A</v>
      </c>
      <c r="AD389" s="367" t="e">
        <f>RawMaterials[[#This Row],[Lab Price 3]]/RawMaterials[[#This Row],[Lab Q Model Units 3]]</f>
        <v>#N/A</v>
      </c>
      <c r="AE389" s="367" t="e">
        <f>RawMaterials[[#This Row],[Lab Price 4]]/RawMaterials[[#This Row],[Lab Q Model Units 4]]</f>
        <v>#N/A</v>
      </c>
      <c r="AF389" s="367" t="str">
        <f ca="1">IF(RawMaterials[[#This Row],[Lab Quote Count]]&gt;1,SLOPE(LOG(INDIRECT("RawMaterials[@[Lab Unit P 1]:[Lab Unit P "&amp;RawMaterials[[#This Row],[Lab Quote Count]]&amp;"]]")),LOG(INDIRECT("RawMaterials[@[Lab Q Model Units 1]:[Lab Q Model Units "&amp;RawMaterials[[#This Row],[Lab Quote Count]]&amp;"]]"))),"")</f>
        <v/>
      </c>
      <c r="AG389" s="367" t="str">
        <f ca="1">IF(RawMaterials[[#This Row],[Lab Quote Count]]&gt;1,INTERCEPT(LOG(INDIRECT("RawMaterials[@[Lab Unit P 1]:[Lab Unit P "&amp;RawMaterials[[#This Row],[Lab Quote Count]]&amp;"]]")),LOG(INDIRECT("RawMaterials[@[Lab Q Model Units 1]:[Lab Q Model Units "&amp;RawMaterials[[#This Row],[Lab Quote Count]]&amp;"]]"))),"")</f>
        <v/>
      </c>
      <c r="AH389" s="368" t="str">
        <f>IF(RawMaterials[[#This Row],[Material Type]]="Metal Precursor","D13",IF(RawMaterials[[#This Row],[Material Type]]="Ligand","D13","D12"))</f>
        <v>D12</v>
      </c>
      <c r="AI389" s="369" t="str">
        <f ca="1">IF(RawMaterials[[#This Row],[Lab Quote Count]]&gt;1,10^RawMaterials[[#This Row],[Lab Log-Log Intercept]]*INDIRECT(RawMaterials[[#This Row],[Basis Cell]])^RawMaterials[[#This Row],[Lab Log-Log Slope]],"&gt;&gt;&gt; Enter 2 or more lab quotes &lt;&lt;&lt;")</f>
        <v>&gt;&gt;&gt; Enter 2 or more lab quotes &lt;&lt;&lt;</v>
      </c>
      <c r="AJ3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0.377</v>
      </c>
      <c r="AL389" s="372">
        <f>IF(ISTEXT(RawMaterials[[#This Row],[Unit price in quote year]]),"Check calcs",RawMaterials[[#This Row],[Unit price in quote year]]/VLOOKUP(RawMaterials[[#This Row],[Quote Year]],ChemPPI[],14,FALSE)*VLOOKUP(BasisYear,ChemPPI[],14,FALSE))</f>
        <v>0.51167022357723591</v>
      </c>
      <c r="AM389" s="373" t="str">
        <f t="shared" si="5"/>
        <v>$/lb (2016)</v>
      </c>
    </row>
    <row r="390" spans="1:39">
      <c r="A390" s="263" t="s">
        <v>1489</v>
      </c>
      <c r="B390" s="264"/>
      <c r="C390" s="271"/>
      <c r="D390" s="365"/>
      <c r="E390" s="264">
        <v>100</v>
      </c>
      <c r="F390" s="264"/>
      <c r="G390" s="271"/>
      <c r="H390" s="271"/>
      <c r="I390" s="268"/>
      <c r="J390" s="271"/>
      <c r="K390" s="271"/>
      <c r="L390" s="271"/>
      <c r="M390" s="271"/>
      <c r="N390" s="271"/>
      <c r="O390" s="271"/>
      <c r="P390" s="265">
        <v>36.700000000000003</v>
      </c>
      <c r="Q390" s="264">
        <v>100</v>
      </c>
      <c r="R390" s="264" t="s">
        <v>20</v>
      </c>
      <c r="S390" s="264">
        <v>2006</v>
      </c>
      <c r="T390" s="266" t="s">
        <v>163</v>
      </c>
      <c r="U390" s="267">
        <v>42653</v>
      </c>
      <c r="V390" s="269"/>
      <c r="W390" s="366">
        <f>COUNT(RawMaterials[[#This Row],[Lab Quantity 1]:[Lab Quantity 4]])</f>
        <v>0</v>
      </c>
      <c r="X3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0" s="367" t="e">
        <f>RawMaterials[[#This Row],[Lab Price 1]]/RawMaterials[[#This Row],[Lab Q Model Units 1]]</f>
        <v>#N/A</v>
      </c>
      <c r="AC390" s="367" t="e">
        <f>RawMaterials[[#This Row],[Lab Price 2]]/RawMaterials[[#This Row],[Lab Q Model Units 2]]</f>
        <v>#N/A</v>
      </c>
      <c r="AD390" s="367" t="e">
        <f>RawMaterials[[#This Row],[Lab Price 3]]/RawMaterials[[#This Row],[Lab Q Model Units 3]]</f>
        <v>#N/A</v>
      </c>
      <c r="AE390" s="367" t="e">
        <f>RawMaterials[[#This Row],[Lab Price 4]]/RawMaterials[[#This Row],[Lab Q Model Units 4]]</f>
        <v>#N/A</v>
      </c>
      <c r="AF390" s="367" t="str">
        <f ca="1">IF(RawMaterials[[#This Row],[Lab Quote Count]]&gt;1,SLOPE(LOG(INDIRECT("RawMaterials[@[Lab Unit P 1]:[Lab Unit P "&amp;RawMaterials[[#This Row],[Lab Quote Count]]&amp;"]]")),LOG(INDIRECT("RawMaterials[@[Lab Q Model Units 1]:[Lab Q Model Units "&amp;RawMaterials[[#This Row],[Lab Quote Count]]&amp;"]]"))),"")</f>
        <v/>
      </c>
      <c r="AG390" s="367" t="str">
        <f ca="1">IF(RawMaterials[[#This Row],[Lab Quote Count]]&gt;1,INTERCEPT(LOG(INDIRECT("RawMaterials[@[Lab Unit P 1]:[Lab Unit P "&amp;RawMaterials[[#This Row],[Lab Quote Count]]&amp;"]]")),LOG(INDIRECT("RawMaterials[@[Lab Q Model Units 1]:[Lab Q Model Units "&amp;RawMaterials[[#This Row],[Lab Quote Count]]&amp;"]]"))),"")</f>
        <v/>
      </c>
      <c r="AH390" s="368" t="str">
        <f>IF(RawMaterials[[#This Row],[Material Type]]="Metal Precursor","D13",IF(RawMaterials[[#This Row],[Material Type]]="Ligand","D13","D12"))</f>
        <v>D12</v>
      </c>
      <c r="AI390" s="369" t="str">
        <f ca="1">IF(RawMaterials[[#This Row],[Lab Quote Count]]&gt;1,10^RawMaterials[[#This Row],[Lab Log-Log Intercept]]*INDIRECT(RawMaterials[[#This Row],[Basis Cell]])^RawMaterials[[#This Row],[Lab Log-Log Slope]],"&gt;&gt;&gt; Enter 2 or more lab quotes &lt;&lt;&lt;")</f>
        <v>&gt;&gt;&gt; Enter 2 or more lab quotes &lt;&lt;&lt;</v>
      </c>
      <c r="AJ3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0.36700000000000005</v>
      </c>
      <c r="AL390" s="372">
        <f>IF(ISTEXT(RawMaterials[[#This Row],[Unit price in quote year]]),"Check calcs",RawMaterials[[#This Row],[Unit price in quote year]]/VLOOKUP(RawMaterials[[#This Row],[Quote Year]],ChemPPI[],14,FALSE)*VLOOKUP(BasisYear,ChemPPI[],14,FALSE))</f>
        <v>0.49809806910569121</v>
      </c>
      <c r="AM390" s="373" t="str">
        <f t="shared" si="5"/>
        <v>$/lb (2016)</v>
      </c>
    </row>
    <row r="391" spans="1:39">
      <c r="A391" s="263" t="s">
        <v>1490</v>
      </c>
      <c r="B391" s="264"/>
      <c r="C391" s="271"/>
      <c r="D391" s="365"/>
      <c r="E391" s="264">
        <v>100</v>
      </c>
      <c r="F391" s="264"/>
      <c r="G391" s="271"/>
      <c r="H391" s="271"/>
      <c r="I391" s="268"/>
      <c r="J391" s="271"/>
      <c r="K391" s="271"/>
      <c r="L391" s="271"/>
      <c r="M391" s="271"/>
      <c r="N391" s="271"/>
      <c r="O391" s="271"/>
      <c r="P391" s="265">
        <v>450</v>
      </c>
      <c r="Q391" s="264">
        <v>1</v>
      </c>
      <c r="R391" s="264" t="s">
        <v>406</v>
      </c>
      <c r="S391" s="264">
        <v>2006</v>
      </c>
      <c r="T391" s="266" t="s">
        <v>163</v>
      </c>
      <c r="U391" s="267">
        <v>42653</v>
      </c>
      <c r="V391" s="269"/>
      <c r="W391" s="366">
        <f>COUNT(RawMaterials[[#This Row],[Lab Quantity 1]:[Lab Quantity 4]])</f>
        <v>0</v>
      </c>
      <c r="X3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1" s="367" t="e">
        <f>RawMaterials[[#This Row],[Lab Price 1]]/RawMaterials[[#This Row],[Lab Q Model Units 1]]</f>
        <v>#N/A</v>
      </c>
      <c r="AC391" s="367" t="e">
        <f>RawMaterials[[#This Row],[Lab Price 2]]/RawMaterials[[#This Row],[Lab Q Model Units 2]]</f>
        <v>#N/A</v>
      </c>
      <c r="AD391" s="367" t="e">
        <f>RawMaterials[[#This Row],[Lab Price 3]]/RawMaterials[[#This Row],[Lab Q Model Units 3]]</f>
        <v>#N/A</v>
      </c>
      <c r="AE391" s="367" t="e">
        <f>RawMaterials[[#This Row],[Lab Price 4]]/RawMaterials[[#This Row],[Lab Q Model Units 4]]</f>
        <v>#N/A</v>
      </c>
      <c r="AF391" s="367" t="str">
        <f ca="1">IF(RawMaterials[[#This Row],[Lab Quote Count]]&gt;1,SLOPE(LOG(INDIRECT("RawMaterials[@[Lab Unit P 1]:[Lab Unit P "&amp;RawMaterials[[#This Row],[Lab Quote Count]]&amp;"]]")),LOG(INDIRECT("RawMaterials[@[Lab Q Model Units 1]:[Lab Q Model Units "&amp;RawMaterials[[#This Row],[Lab Quote Count]]&amp;"]]"))),"")</f>
        <v/>
      </c>
      <c r="AG391" s="367" t="str">
        <f ca="1">IF(RawMaterials[[#This Row],[Lab Quote Count]]&gt;1,INTERCEPT(LOG(INDIRECT("RawMaterials[@[Lab Unit P 1]:[Lab Unit P "&amp;RawMaterials[[#This Row],[Lab Quote Count]]&amp;"]]")),LOG(INDIRECT("RawMaterials[@[Lab Q Model Units 1]:[Lab Q Model Units "&amp;RawMaterials[[#This Row],[Lab Quote Count]]&amp;"]]"))),"")</f>
        <v/>
      </c>
      <c r="AH391" s="368" t="str">
        <f>IF(RawMaterials[[#This Row],[Material Type]]="Metal Precursor","D13",IF(RawMaterials[[#This Row],[Material Type]]="Ligand","D13","D12"))</f>
        <v>D12</v>
      </c>
      <c r="AI391" s="369" t="str">
        <f ca="1">IF(RawMaterials[[#This Row],[Lab Quote Count]]&gt;1,10^RawMaterials[[#This Row],[Lab Log-Log Intercept]]*INDIRECT(RawMaterials[[#This Row],[Basis Cell]])^RawMaterials[[#This Row],[Lab Log-Log Slope]],"&gt;&gt;&gt; Enter 2 or more lab quotes &lt;&lt;&lt;")</f>
        <v>&gt;&gt;&gt; Enter 2 or more lab quotes &lt;&lt;&lt;</v>
      </c>
      <c r="AJ3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3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391" s="372">
        <f>IF(ISTEXT(RawMaterials[[#This Row],[Unit price in quote year]]),"Check calcs",RawMaterials[[#This Row],[Unit price in quote year]]/VLOOKUP(RawMaterials[[#This Row],[Quote Year]],ChemPPI[],14,FALSE)*VLOOKUP(BasisYear,ChemPPI[],14,FALSE))</f>
        <v>0.30537347560975614</v>
      </c>
      <c r="AM391" s="373" t="str">
        <f t="shared" si="5"/>
        <v>$/lb (2016)</v>
      </c>
    </row>
    <row r="392" spans="1:39">
      <c r="A392" s="263" t="s">
        <v>1491</v>
      </c>
      <c r="B392" s="264"/>
      <c r="C392" s="271"/>
      <c r="D392" s="365"/>
      <c r="E392" s="264">
        <v>100</v>
      </c>
      <c r="F392" s="264"/>
      <c r="G392" s="271"/>
      <c r="H392" s="271"/>
      <c r="I392" s="268"/>
      <c r="J392" s="271"/>
      <c r="K392" s="271"/>
      <c r="L392" s="271"/>
      <c r="M392" s="271"/>
      <c r="N392" s="271"/>
      <c r="O392" s="271"/>
      <c r="P392" s="265">
        <v>0.67</v>
      </c>
      <c r="Q392" s="264">
        <v>1</v>
      </c>
      <c r="R392" s="264" t="s">
        <v>20</v>
      </c>
      <c r="S392" s="264">
        <v>2006</v>
      </c>
      <c r="T392" s="266" t="s">
        <v>163</v>
      </c>
      <c r="U392" s="267">
        <v>42653</v>
      </c>
      <c r="V392" s="269"/>
      <c r="W392" s="366">
        <f>COUNT(RawMaterials[[#This Row],[Lab Quantity 1]:[Lab Quantity 4]])</f>
        <v>0</v>
      </c>
      <c r="X3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2" s="367" t="e">
        <f>RawMaterials[[#This Row],[Lab Price 1]]/RawMaterials[[#This Row],[Lab Q Model Units 1]]</f>
        <v>#N/A</v>
      </c>
      <c r="AC392" s="367" t="e">
        <f>RawMaterials[[#This Row],[Lab Price 2]]/RawMaterials[[#This Row],[Lab Q Model Units 2]]</f>
        <v>#N/A</v>
      </c>
      <c r="AD392" s="367" t="e">
        <f>RawMaterials[[#This Row],[Lab Price 3]]/RawMaterials[[#This Row],[Lab Q Model Units 3]]</f>
        <v>#N/A</v>
      </c>
      <c r="AE392" s="367" t="e">
        <f>RawMaterials[[#This Row],[Lab Price 4]]/RawMaterials[[#This Row],[Lab Q Model Units 4]]</f>
        <v>#N/A</v>
      </c>
      <c r="AF392" s="367" t="str">
        <f ca="1">IF(RawMaterials[[#This Row],[Lab Quote Count]]&gt;1,SLOPE(LOG(INDIRECT("RawMaterials[@[Lab Unit P 1]:[Lab Unit P "&amp;RawMaterials[[#This Row],[Lab Quote Count]]&amp;"]]")),LOG(INDIRECT("RawMaterials[@[Lab Q Model Units 1]:[Lab Q Model Units "&amp;RawMaterials[[#This Row],[Lab Quote Count]]&amp;"]]"))),"")</f>
        <v/>
      </c>
      <c r="AG392" s="367" t="str">
        <f ca="1">IF(RawMaterials[[#This Row],[Lab Quote Count]]&gt;1,INTERCEPT(LOG(INDIRECT("RawMaterials[@[Lab Unit P 1]:[Lab Unit P "&amp;RawMaterials[[#This Row],[Lab Quote Count]]&amp;"]]")),LOG(INDIRECT("RawMaterials[@[Lab Q Model Units 1]:[Lab Q Model Units "&amp;RawMaterials[[#This Row],[Lab Quote Count]]&amp;"]]"))),"")</f>
        <v/>
      </c>
      <c r="AH392" s="368" t="str">
        <f>IF(RawMaterials[[#This Row],[Material Type]]="Metal Precursor","D13",IF(RawMaterials[[#This Row],[Material Type]]="Ligand","D13","D12"))</f>
        <v>D12</v>
      </c>
      <c r="AI392" s="369" t="str">
        <f ca="1">IF(RawMaterials[[#This Row],[Lab Quote Count]]&gt;1,10^RawMaterials[[#This Row],[Lab Log-Log Intercept]]*INDIRECT(RawMaterials[[#This Row],[Basis Cell]])^RawMaterials[[#This Row],[Lab Log-Log Slope]],"&gt;&gt;&gt; Enter 2 or more lab quotes &lt;&lt;&lt;")</f>
        <v>&gt;&gt;&gt; Enter 2 or more lab quotes &lt;&lt;&lt;</v>
      </c>
      <c r="AJ3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v>
      </c>
      <c r="AL392" s="372">
        <f>IF(ISTEXT(RawMaterials[[#This Row],[Unit price in quote year]]),"Check calcs",RawMaterials[[#This Row],[Unit price in quote year]]/VLOOKUP(RawMaterials[[#This Row],[Quote Year]],ChemPPI[],14,FALSE)*VLOOKUP(BasisYear,ChemPPI[],14,FALSE))</f>
        <v>0.90933434959349613</v>
      </c>
      <c r="AM392" s="373" t="str">
        <f t="shared" si="5"/>
        <v>$/lb (2016)</v>
      </c>
    </row>
    <row r="393" spans="1:39">
      <c r="A393" s="263" t="s">
        <v>1492</v>
      </c>
      <c r="B393" s="264"/>
      <c r="C393" s="271"/>
      <c r="D393" s="365"/>
      <c r="E393" s="264">
        <v>100</v>
      </c>
      <c r="F393" s="264"/>
      <c r="G393" s="271"/>
      <c r="H393" s="271"/>
      <c r="I393" s="268"/>
      <c r="J393" s="271"/>
      <c r="K393" s="271"/>
      <c r="L393" s="271"/>
      <c r="M393" s="271"/>
      <c r="N393" s="271"/>
      <c r="O393" s="271"/>
      <c r="P393" s="265">
        <v>0.71</v>
      </c>
      <c r="Q393" s="264">
        <v>100</v>
      </c>
      <c r="R393" s="264" t="s">
        <v>20</v>
      </c>
      <c r="S393" s="264">
        <v>2006</v>
      </c>
      <c r="T393" s="266" t="s">
        <v>163</v>
      </c>
      <c r="U393" s="267">
        <v>42653</v>
      </c>
      <c r="V393" s="269"/>
      <c r="W393" s="366">
        <f>COUNT(RawMaterials[[#This Row],[Lab Quantity 1]:[Lab Quantity 4]])</f>
        <v>0</v>
      </c>
      <c r="X3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3" s="367" t="e">
        <f>RawMaterials[[#This Row],[Lab Price 1]]/RawMaterials[[#This Row],[Lab Q Model Units 1]]</f>
        <v>#N/A</v>
      </c>
      <c r="AC393" s="367" t="e">
        <f>RawMaterials[[#This Row],[Lab Price 2]]/RawMaterials[[#This Row],[Lab Q Model Units 2]]</f>
        <v>#N/A</v>
      </c>
      <c r="AD393" s="367" t="e">
        <f>RawMaterials[[#This Row],[Lab Price 3]]/RawMaterials[[#This Row],[Lab Q Model Units 3]]</f>
        <v>#N/A</v>
      </c>
      <c r="AE393" s="367" t="e">
        <f>RawMaterials[[#This Row],[Lab Price 4]]/RawMaterials[[#This Row],[Lab Q Model Units 4]]</f>
        <v>#N/A</v>
      </c>
      <c r="AF393" s="367" t="str">
        <f ca="1">IF(RawMaterials[[#This Row],[Lab Quote Count]]&gt;1,SLOPE(LOG(INDIRECT("RawMaterials[@[Lab Unit P 1]:[Lab Unit P "&amp;RawMaterials[[#This Row],[Lab Quote Count]]&amp;"]]")),LOG(INDIRECT("RawMaterials[@[Lab Q Model Units 1]:[Lab Q Model Units "&amp;RawMaterials[[#This Row],[Lab Quote Count]]&amp;"]]"))),"")</f>
        <v/>
      </c>
      <c r="AG393" s="367" t="str">
        <f ca="1">IF(RawMaterials[[#This Row],[Lab Quote Count]]&gt;1,INTERCEPT(LOG(INDIRECT("RawMaterials[@[Lab Unit P 1]:[Lab Unit P "&amp;RawMaterials[[#This Row],[Lab Quote Count]]&amp;"]]")),LOG(INDIRECT("RawMaterials[@[Lab Q Model Units 1]:[Lab Q Model Units "&amp;RawMaterials[[#This Row],[Lab Quote Count]]&amp;"]]"))),"")</f>
        <v/>
      </c>
      <c r="AH393" s="368" t="str">
        <f>IF(RawMaterials[[#This Row],[Material Type]]="Metal Precursor","D13",IF(RawMaterials[[#This Row],[Material Type]]="Ligand","D13","D12"))</f>
        <v>D12</v>
      </c>
      <c r="AI393" s="369" t="str">
        <f ca="1">IF(RawMaterials[[#This Row],[Lab Quote Count]]&gt;1,10^RawMaterials[[#This Row],[Lab Log-Log Intercept]]*INDIRECT(RawMaterials[[#This Row],[Basis Cell]])^RawMaterials[[#This Row],[Lab Log-Log Slope]],"&gt;&gt;&gt; Enter 2 or more lab quotes &lt;&lt;&lt;")</f>
        <v>&gt;&gt;&gt; Enter 2 or more lab quotes &lt;&lt;&lt;</v>
      </c>
      <c r="AJ3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3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7.0999999999999995E-3</v>
      </c>
      <c r="AL393" s="372">
        <f>IF(ISTEXT(RawMaterials[[#This Row],[Unit price in quote year]]),"Check calcs",RawMaterials[[#This Row],[Unit price in quote year]]/VLOOKUP(RawMaterials[[#This Row],[Quote Year]],ChemPPI[],14,FALSE)*VLOOKUP(BasisYear,ChemPPI[],14,FALSE))</f>
        <v>9.6362296747967494E-3</v>
      </c>
      <c r="AM393" s="373" t="str">
        <f t="shared" si="5"/>
        <v>$/lb (2016)</v>
      </c>
    </row>
    <row r="394" spans="1:39">
      <c r="A394" s="263" t="s">
        <v>1493</v>
      </c>
      <c r="B394" s="264"/>
      <c r="C394" s="271"/>
      <c r="D394" s="365"/>
      <c r="E394" s="264">
        <v>100</v>
      </c>
      <c r="F394" s="264"/>
      <c r="G394" s="271"/>
      <c r="H394" s="271"/>
      <c r="I394" s="268"/>
      <c r="J394" s="271"/>
      <c r="K394" s="271"/>
      <c r="L394" s="271"/>
      <c r="M394" s="271"/>
      <c r="N394" s="271"/>
      <c r="O394" s="271"/>
      <c r="P394" s="265">
        <v>1.1000000000000001</v>
      </c>
      <c r="Q394" s="264">
        <v>1</v>
      </c>
      <c r="R394" s="264" t="s">
        <v>20</v>
      </c>
      <c r="S394" s="264">
        <v>2006</v>
      </c>
      <c r="T394" s="266" t="s">
        <v>163</v>
      </c>
      <c r="U394" s="267">
        <v>42653</v>
      </c>
      <c r="V394" s="269"/>
      <c r="W394" s="366">
        <f>COUNT(RawMaterials[[#This Row],[Lab Quantity 1]:[Lab Quantity 4]])</f>
        <v>0</v>
      </c>
      <c r="X3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4" s="367" t="e">
        <f>RawMaterials[[#This Row],[Lab Price 1]]/RawMaterials[[#This Row],[Lab Q Model Units 1]]</f>
        <v>#N/A</v>
      </c>
      <c r="AC394" s="367" t="e">
        <f>RawMaterials[[#This Row],[Lab Price 2]]/RawMaterials[[#This Row],[Lab Q Model Units 2]]</f>
        <v>#N/A</v>
      </c>
      <c r="AD394" s="367" t="e">
        <f>RawMaterials[[#This Row],[Lab Price 3]]/RawMaterials[[#This Row],[Lab Q Model Units 3]]</f>
        <v>#N/A</v>
      </c>
      <c r="AE394" s="367" t="e">
        <f>RawMaterials[[#This Row],[Lab Price 4]]/RawMaterials[[#This Row],[Lab Q Model Units 4]]</f>
        <v>#N/A</v>
      </c>
      <c r="AF394" s="367" t="str">
        <f ca="1">IF(RawMaterials[[#This Row],[Lab Quote Count]]&gt;1,SLOPE(LOG(INDIRECT("RawMaterials[@[Lab Unit P 1]:[Lab Unit P "&amp;RawMaterials[[#This Row],[Lab Quote Count]]&amp;"]]")),LOG(INDIRECT("RawMaterials[@[Lab Q Model Units 1]:[Lab Q Model Units "&amp;RawMaterials[[#This Row],[Lab Quote Count]]&amp;"]]"))),"")</f>
        <v/>
      </c>
      <c r="AG394" s="367" t="str">
        <f ca="1">IF(RawMaterials[[#This Row],[Lab Quote Count]]&gt;1,INTERCEPT(LOG(INDIRECT("RawMaterials[@[Lab Unit P 1]:[Lab Unit P "&amp;RawMaterials[[#This Row],[Lab Quote Count]]&amp;"]]")),LOG(INDIRECT("RawMaterials[@[Lab Q Model Units 1]:[Lab Q Model Units "&amp;RawMaterials[[#This Row],[Lab Quote Count]]&amp;"]]"))),"")</f>
        <v/>
      </c>
      <c r="AH394" s="368" t="str">
        <f>IF(RawMaterials[[#This Row],[Material Type]]="Metal Precursor","D13",IF(RawMaterials[[#This Row],[Material Type]]="Ligand","D13","D12"))</f>
        <v>D12</v>
      </c>
      <c r="AI394" s="369" t="str">
        <f ca="1">IF(RawMaterials[[#This Row],[Lab Quote Count]]&gt;1,10^RawMaterials[[#This Row],[Lab Log-Log Intercept]]*INDIRECT(RawMaterials[[#This Row],[Basis Cell]])^RawMaterials[[#This Row],[Lab Log-Log Slope]],"&gt;&gt;&gt; Enter 2 or more lab quotes &lt;&lt;&lt;")</f>
        <v>&gt;&gt;&gt; Enter 2 or more lab quotes &lt;&lt;&lt;</v>
      </c>
      <c r="AJ3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1.1000000000000001</v>
      </c>
      <c r="AL394" s="372">
        <f>IF(ISTEXT(RawMaterials[[#This Row],[Unit price in quote year]]),"Check calcs",RawMaterials[[#This Row],[Unit price in quote year]]/VLOOKUP(RawMaterials[[#This Row],[Quote Year]],ChemPPI[],14,FALSE)*VLOOKUP(BasisYear,ChemPPI[],14,FALSE))</f>
        <v>1.4929369918699191</v>
      </c>
      <c r="AM394" s="373" t="str">
        <f t="shared" si="5"/>
        <v>$/lb (2016)</v>
      </c>
    </row>
    <row r="395" spans="1:39">
      <c r="A395" s="263" t="s">
        <v>1494</v>
      </c>
      <c r="B395" s="264"/>
      <c r="C395" s="271"/>
      <c r="D395" s="365"/>
      <c r="E395" s="264">
        <v>100</v>
      </c>
      <c r="F395" s="264"/>
      <c r="G395" s="271"/>
      <c r="H395" s="271"/>
      <c r="I395" s="268"/>
      <c r="J395" s="271"/>
      <c r="K395" s="271"/>
      <c r="L395" s="271"/>
      <c r="M395" s="271"/>
      <c r="N395" s="271"/>
      <c r="O395" s="271"/>
      <c r="P395" s="265">
        <v>0.49</v>
      </c>
      <c r="Q395" s="264">
        <v>1</v>
      </c>
      <c r="R395" s="264" t="s">
        <v>20</v>
      </c>
      <c r="S395" s="264">
        <v>2006</v>
      </c>
      <c r="T395" s="266" t="s">
        <v>163</v>
      </c>
      <c r="U395" s="267">
        <v>42653</v>
      </c>
      <c r="V395" s="269"/>
      <c r="W395" s="366">
        <f>COUNT(RawMaterials[[#This Row],[Lab Quantity 1]:[Lab Quantity 4]])</f>
        <v>0</v>
      </c>
      <c r="X3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5" s="367" t="e">
        <f>RawMaterials[[#This Row],[Lab Price 1]]/RawMaterials[[#This Row],[Lab Q Model Units 1]]</f>
        <v>#N/A</v>
      </c>
      <c r="AC395" s="367" t="e">
        <f>RawMaterials[[#This Row],[Lab Price 2]]/RawMaterials[[#This Row],[Lab Q Model Units 2]]</f>
        <v>#N/A</v>
      </c>
      <c r="AD395" s="367" t="e">
        <f>RawMaterials[[#This Row],[Lab Price 3]]/RawMaterials[[#This Row],[Lab Q Model Units 3]]</f>
        <v>#N/A</v>
      </c>
      <c r="AE395" s="367" t="e">
        <f>RawMaterials[[#This Row],[Lab Price 4]]/RawMaterials[[#This Row],[Lab Q Model Units 4]]</f>
        <v>#N/A</v>
      </c>
      <c r="AF395" s="367" t="str">
        <f ca="1">IF(RawMaterials[[#This Row],[Lab Quote Count]]&gt;1,SLOPE(LOG(INDIRECT("RawMaterials[@[Lab Unit P 1]:[Lab Unit P "&amp;RawMaterials[[#This Row],[Lab Quote Count]]&amp;"]]")),LOG(INDIRECT("RawMaterials[@[Lab Q Model Units 1]:[Lab Q Model Units "&amp;RawMaterials[[#This Row],[Lab Quote Count]]&amp;"]]"))),"")</f>
        <v/>
      </c>
      <c r="AG395" s="367" t="str">
        <f ca="1">IF(RawMaterials[[#This Row],[Lab Quote Count]]&gt;1,INTERCEPT(LOG(INDIRECT("RawMaterials[@[Lab Unit P 1]:[Lab Unit P "&amp;RawMaterials[[#This Row],[Lab Quote Count]]&amp;"]]")),LOG(INDIRECT("RawMaterials[@[Lab Q Model Units 1]:[Lab Q Model Units "&amp;RawMaterials[[#This Row],[Lab Quote Count]]&amp;"]]"))),"")</f>
        <v/>
      </c>
      <c r="AH395" s="368" t="str">
        <f>IF(RawMaterials[[#This Row],[Material Type]]="Metal Precursor","D13",IF(RawMaterials[[#This Row],[Material Type]]="Ligand","D13","D12"))</f>
        <v>D12</v>
      </c>
      <c r="AI395" s="369" t="str">
        <f ca="1">IF(RawMaterials[[#This Row],[Lab Quote Count]]&gt;1,10^RawMaterials[[#This Row],[Lab Log-Log Intercept]]*INDIRECT(RawMaterials[[#This Row],[Basis Cell]])^RawMaterials[[#This Row],[Lab Log-Log Slope]],"&gt;&gt;&gt; Enter 2 or more lab quotes &lt;&lt;&lt;")</f>
        <v>&gt;&gt;&gt; Enter 2 or more lab quotes &lt;&lt;&lt;</v>
      </c>
      <c r="AJ3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5" s="372">
        <f>IF(ISTEXT(RawMaterials[[#This Row],[Unit price in quote year]]),"Check calcs",RawMaterials[[#This Row],[Unit price in quote year]]/VLOOKUP(RawMaterials[[#This Row],[Quote Year]],ChemPPI[],14,FALSE)*VLOOKUP(BasisYear,ChemPPI[],14,FALSE))</f>
        <v>0.66503556910569117</v>
      </c>
      <c r="AM395" s="373" t="str">
        <f t="shared" si="5"/>
        <v>$/lb (2016)</v>
      </c>
    </row>
    <row r="396" spans="1:39">
      <c r="A396" s="263" t="s">
        <v>1495</v>
      </c>
      <c r="B396" s="264"/>
      <c r="C396" s="271"/>
      <c r="D396" s="365"/>
      <c r="E396" s="264">
        <v>100</v>
      </c>
      <c r="F396" s="264"/>
      <c r="G396" s="271"/>
      <c r="H396" s="271"/>
      <c r="I396" s="268"/>
      <c r="J396" s="271"/>
      <c r="K396" s="271"/>
      <c r="L396" s="271"/>
      <c r="M396" s="271"/>
      <c r="N396" s="271"/>
      <c r="O396" s="271"/>
      <c r="P396" s="265">
        <v>0.49</v>
      </c>
      <c r="Q396" s="264">
        <v>1</v>
      </c>
      <c r="R396" s="264" t="s">
        <v>20</v>
      </c>
      <c r="S396" s="264">
        <v>2006</v>
      </c>
      <c r="T396" s="266" t="s">
        <v>163</v>
      </c>
      <c r="U396" s="267">
        <v>42653</v>
      </c>
      <c r="V396" s="269"/>
      <c r="W396" s="366">
        <f>COUNT(RawMaterials[[#This Row],[Lab Quantity 1]:[Lab Quantity 4]])</f>
        <v>0</v>
      </c>
      <c r="X3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6" s="367" t="e">
        <f>RawMaterials[[#This Row],[Lab Price 1]]/RawMaterials[[#This Row],[Lab Q Model Units 1]]</f>
        <v>#N/A</v>
      </c>
      <c r="AC396" s="367" t="e">
        <f>RawMaterials[[#This Row],[Lab Price 2]]/RawMaterials[[#This Row],[Lab Q Model Units 2]]</f>
        <v>#N/A</v>
      </c>
      <c r="AD396" s="367" t="e">
        <f>RawMaterials[[#This Row],[Lab Price 3]]/RawMaterials[[#This Row],[Lab Q Model Units 3]]</f>
        <v>#N/A</v>
      </c>
      <c r="AE396" s="367" t="e">
        <f>RawMaterials[[#This Row],[Lab Price 4]]/RawMaterials[[#This Row],[Lab Q Model Units 4]]</f>
        <v>#N/A</v>
      </c>
      <c r="AF396" s="367" t="str">
        <f ca="1">IF(RawMaterials[[#This Row],[Lab Quote Count]]&gt;1,SLOPE(LOG(INDIRECT("RawMaterials[@[Lab Unit P 1]:[Lab Unit P "&amp;RawMaterials[[#This Row],[Lab Quote Count]]&amp;"]]")),LOG(INDIRECT("RawMaterials[@[Lab Q Model Units 1]:[Lab Q Model Units "&amp;RawMaterials[[#This Row],[Lab Quote Count]]&amp;"]]"))),"")</f>
        <v/>
      </c>
      <c r="AG396" s="367" t="str">
        <f ca="1">IF(RawMaterials[[#This Row],[Lab Quote Count]]&gt;1,INTERCEPT(LOG(INDIRECT("RawMaterials[@[Lab Unit P 1]:[Lab Unit P "&amp;RawMaterials[[#This Row],[Lab Quote Count]]&amp;"]]")),LOG(INDIRECT("RawMaterials[@[Lab Q Model Units 1]:[Lab Q Model Units "&amp;RawMaterials[[#This Row],[Lab Quote Count]]&amp;"]]"))),"")</f>
        <v/>
      </c>
      <c r="AH396" s="368" t="str">
        <f>IF(RawMaterials[[#This Row],[Material Type]]="Metal Precursor","D13",IF(RawMaterials[[#This Row],[Material Type]]="Ligand","D13","D12"))</f>
        <v>D12</v>
      </c>
      <c r="AI396" s="369" t="str">
        <f ca="1">IF(RawMaterials[[#This Row],[Lab Quote Count]]&gt;1,10^RawMaterials[[#This Row],[Lab Log-Log Intercept]]*INDIRECT(RawMaterials[[#This Row],[Basis Cell]])^RawMaterials[[#This Row],[Lab Log-Log Slope]],"&gt;&gt;&gt; Enter 2 or more lab quotes &lt;&lt;&lt;")</f>
        <v>&gt;&gt;&gt; Enter 2 or more lab quotes &lt;&lt;&lt;</v>
      </c>
      <c r="AJ3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0.49</v>
      </c>
      <c r="AL396" s="372">
        <f>IF(ISTEXT(RawMaterials[[#This Row],[Unit price in quote year]]),"Check calcs",RawMaterials[[#This Row],[Unit price in quote year]]/VLOOKUP(RawMaterials[[#This Row],[Quote Year]],ChemPPI[],14,FALSE)*VLOOKUP(BasisYear,ChemPPI[],14,FALSE))</f>
        <v>0.66503556910569117</v>
      </c>
      <c r="AM396" s="373" t="str">
        <f t="shared" si="5"/>
        <v>$/lb (2016)</v>
      </c>
    </row>
    <row r="397" spans="1:39">
      <c r="A397" s="263" t="s">
        <v>1496</v>
      </c>
      <c r="B397" s="264"/>
      <c r="C397" s="271"/>
      <c r="D397" s="365"/>
      <c r="E397" s="264">
        <v>100</v>
      </c>
      <c r="F397" s="264"/>
      <c r="G397" s="271"/>
      <c r="H397" s="271"/>
      <c r="I397" s="268"/>
      <c r="J397" s="271"/>
      <c r="K397" s="271"/>
      <c r="L397" s="271"/>
      <c r="M397" s="271"/>
      <c r="N397" s="271"/>
      <c r="O397" s="271"/>
      <c r="P397" s="265">
        <v>1.25</v>
      </c>
      <c r="Q397" s="264">
        <v>1</v>
      </c>
      <c r="R397" s="264" t="s">
        <v>20</v>
      </c>
      <c r="S397" s="264">
        <v>2006</v>
      </c>
      <c r="T397" s="266" t="s">
        <v>163</v>
      </c>
      <c r="U397" s="267">
        <v>42653</v>
      </c>
      <c r="V397" s="269"/>
      <c r="W397" s="366">
        <f>COUNT(RawMaterials[[#This Row],[Lab Quantity 1]:[Lab Quantity 4]])</f>
        <v>0</v>
      </c>
      <c r="X3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7" s="367" t="e">
        <f>RawMaterials[[#This Row],[Lab Price 1]]/RawMaterials[[#This Row],[Lab Q Model Units 1]]</f>
        <v>#N/A</v>
      </c>
      <c r="AC397" s="367" t="e">
        <f>RawMaterials[[#This Row],[Lab Price 2]]/RawMaterials[[#This Row],[Lab Q Model Units 2]]</f>
        <v>#N/A</v>
      </c>
      <c r="AD397" s="367" t="e">
        <f>RawMaterials[[#This Row],[Lab Price 3]]/RawMaterials[[#This Row],[Lab Q Model Units 3]]</f>
        <v>#N/A</v>
      </c>
      <c r="AE397" s="367" t="e">
        <f>RawMaterials[[#This Row],[Lab Price 4]]/RawMaterials[[#This Row],[Lab Q Model Units 4]]</f>
        <v>#N/A</v>
      </c>
      <c r="AF397" s="367" t="str">
        <f ca="1">IF(RawMaterials[[#This Row],[Lab Quote Count]]&gt;1,SLOPE(LOG(INDIRECT("RawMaterials[@[Lab Unit P 1]:[Lab Unit P "&amp;RawMaterials[[#This Row],[Lab Quote Count]]&amp;"]]")),LOG(INDIRECT("RawMaterials[@[Lab Q Model Units 1]:[Lab Q Model Units "&amp;RawMaterials[[#This Row],[Lab Quote Count]]&amp;"]]"))),"")</f>
        <v/>
      </c>
      <c r="AG397" s="367" t="str">
        <f ca="1">IF(RawMaterials[[#This Row],[Lab Quote Count]]&gt;1,INTERCEPT(LOG(INDIRECT("RawMaterials[@[Lab Unit P 1]:[Lab Unit P "&amp;RawMaterials[[#This Row],[Lab Quote Count]]&amp;"]]")),LOG(INDIRECT("RawMaterials[@[Lab Q Model Units 1]:[Lab Q Model Units "&amp;RawMaterials[[#This Row],[Lab Quote Count]]&amp;"]]"))),"")</f>
        <v/>
      </c>
      <c r="AH397" s="368" t="str">
        <f>IF(RawMaterials[[#This Row],[Material Type]]="Metal Precursor","D13",IF(RawMaterials[[#This Row],[Material Type]]="Ligand","D13","D12"))</f>
        <v>D12</v>
      </c>
      <c r="AI397" s="369" t="str">
        <f ca="1">IF(RawMaterials[[#This Row],[Lab Quote Count]]&gt;1,10^RawMaterials[[#This Row],[Lab Log-Log Intercept]]*INDIRECT(RawMaterials[[#This Row],[Basis Cell]])^RawMaterials[[#This Row],[Lab Log-Log Slope]],"&gt;&gt;&gt; Enter 2 or more lab quotes &lt;&lt;&lt;")</f>
        <v>&gt;&gt;&gt; Enter 2 or more lab quotes &lt;&lt;&lt;</v>
      </c>
      <c r="AJ3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1.25</v>
      </c>
      <c r="AL397" s="372">
        <f>IF(ISTEXT(RawMaterials[[#This Row],[Unit price in quote year]]),"Check calcs",RawMaterials[[#This Row],[Unit price in quote year]]/VLOOKUP(RawMaterials[[#This Row],[Quote Year]],ChemPPI[],14,FALSE)*VLOOKUP(BasisYear,ChemPPI[],14,FALSE))</f>
        <v>1.6965193089430897</v>
      </c>
      <c r="AM397" s="373" t="str">
        <f t="shared" si="5"/>
        <v>$/lb (2016)</v>
      </c>
    </row>
    <row r="398" spans="1:39">
      <c r="A398" s="263" t="s">
        <v>1497</v>
      </c>
      <c r="B398" s="264"/>
      <c r="C398" s="271"/>
      <c r="D398" s="365"/>
      <c r="E398" s="264">
        <v>100</v>
      </c>
      <c r="F398" s="264"/>
      <c r="G398" s="271"/>
      <c r="H398" s="271"/>
      <c r="I398" s="268"/>
      <c r="J398" s="271"/>
      <c r="K398" s="271"/>
      <c r="L398" s="271"/>
      <c r="M398" s="271"/>
      <c r="N398" s="271"/>
      <c r="O398" s="271"/>
      <c r="P398" s="265">
        <v>0.72</v>
      </c>
      <c r="Q398" s="264">
        <v>1</v>
      </c>
      <c r="R398" s="264" t="s">
        <v>20</v>
      </c>
      <c r="S398" s="264">
        <v>2008</v>
      </c>
      <c r="T398" s="266" t="s">
        <v>163</v>
      </c>
      <c r="U398" s="267">
        <v>42653</v>
      </c>
      <c r="V398" s="269"/>
      <c r="W398" s="366">
        <f>COUNT(RawMaterials[[#This Row],[Lab Quantity 1]:[Lab Quantity 4]])</f>
        <v>0</v>
      </c>
      <c r="X3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8" s="367" t="e">
        <f>RawMaterials[[#This Row],[Lab Price 1]]/RawMaterials[[#This Row],[Lab Q Model Units 1]]</f>
        <v>#N/A</v>
      </c>
      <c r="AC398" s="367" t="e">
        <f>RawMaterials[[#This Row],[Lab Price 2]]/RawMaterials[[#This Row],[Lab Q Model Units 2]]</f>
        <v>#N/A</v>
      </c>
      <c r="AD398" s="367" t="e">
        <f>RawMaterials[[#This Row],[Lab Price 3]]/RawMaterials[[#This Row],[Lab Q Model Units 3]]</f>
        <v>#N/A</v>
      </c>
      <c r="AE398" s="367" t="e">
        <f>RawMaterials[[#This Row],[Lab Price 4]]/RawMaterials[[#This Row],[Lab Q Model Units 4]]</f>
        <v>#N/A</v>
      </c>
      <c r="AF398" s="367" t="str">
        <f ca="1">IF(RawMaterials[[#This Row],[Lab Quote Count]]&gt;1,SLOPE(LOG(INDIRECT("RawMaterials[@[Lab Unit P 1]:[Lab Unit P "&amp;RawMaterials[[#This Row],[Lab Quote Count]]&amp;"]]")),LOG(INDIRECT("RawMaterials[@[Lab Q Model Units 1]:[Lab Q Model Units "&amp;RawMaterials[[#This Row],[Lab Quote Count]]&amp;"]]"))),"")</f>
        <v/>
      </c>
      <c r="AG398" s="367" t="str">
        <f ca="1">IF(RawMaterials[[#This Row],[Lab Quote Count]]&gt;1,INTERCEPT(LOG(INDIRECT("RawMaterials[@[Lab Unit P 1]:[Lab Unit P "&amp;RawMaterials[[#This Row],[Lab Quote Count]]&amp;"]]")),LOG(INDIRECT("RawMaterials[@[Lab Q Model Units 1]:[Lab Q Model Units "&amp;RawMaterials[[#This Row],[Lab Quote Count]]&amp;"]]"))),"")</f>
        <v/>
      </c>
      <c r="AH398" s="368" t="str">
        <f>IF(RawMaterials[[#This Row],[Material Type]]="Metal Precursor","D13",IF(RawMaterials[[#This Row],[Material Type]]="Ligand","D13","D12"))</f>
        <v>D12</v>
      </c>
      <c r="AI398" s="369" t="str">
        <f ca="1">IF(RawMaterials[[#This Row],[Lab Quote Count]]&gt;1,10^RawMaterials[[#This Row],[Lab Log-Log Intercept]]*INDIRECT(RawMaterials[[#This Row],[Basis Cell]])^RawMaterials[[#This Row],[Lab Log-Log Slope]],"&gt;&gt;&gt; Enter 2 or more lab quotes &lt;&lt;&lt;")</f>
        <v>&gt;&gt;&gt; Enter 2 or more lab quotes &lt;&lt;&lt;</v>
      </c>
      <c r="AJ3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8" s="372">
        <f>IF(ISTEXT(RawMaterials[[#This Row],[Unit price in quote year]]),"Check calcs",RawMaterials[[#This Row],[Unit price in quote year]]/VLOOKUP(RawMaterials[[#This Row],[Quote Year]],ChemPPI[],14,FALSE)*VLOOKUP(BasisYear,ChemPPI[],14,FALSE))</f>
        <v>0.84270366989227674</v>
      </c>
      <c r="AM398" s="373" t="str">
        <f t="shared" si="5"/>
        <v>$/lb (2016)</v>
      </c>
    </row>
    <row r="399" spans="1:39">
      <c r="A399" s="263" t="s">
        <v>1498</v>
      </c>
      <c r="B399" s="264"/>
      <c r="C399" s="271"/>
      <c r="D399" s="365"/>
      <c r="E399" s="264">
        <v>100</v>
      </c>
      <c r="F399" s="264"/>
      <c r="G399" s="271"/>
      <c r="H399" s="271"/>
      <c r="I399" s="268"/>
      <c r="J399" s="271"/>
      <c r="K399" s="271"/>
      <c r="L399" s="271"/>
      <c r="M399" s="271"/>
      <c r="N399" s="271"/>
      <c r="O399" s="271"/>
      <c r="P399" s="265">
        <v>0.72</v>
      </c>
      <c r="Q399" s="264">
        <v>1</v>
      </c>
      <c r="R399" s="264" t="s">
        <v>20</v>
      </c>
      <c r="S399" s="264">
        <v>2006</v>
      </c>
      <c r="T399" s="266" t="s">
        <v>163</v>
      </c>
      <c r="U399" s="267">
        <v>42653</v>
      </c>
      <c r="V399" s="269"/>
      <c r="W399" s="366">
        <f>COUNT(RawMaterials[[#This Row],[Lab Quantity 1]:[Lab Quantity 4]])</f>
        <v>0</v>
      </c>
      <c r="X3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3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3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3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399" s="367" t="e">
        <f>RawMaterials[[#This Row],[Lab Price 1]]/RawMaterials[[#This Row],[Lab Q Model Units 1]]</f>
        <v>#N/A</v>
      </c>
      <c r="AC399" s="367" t="e">
        <f>RawMaterials[[#This Row],[Lab Price 2]]/RawMaterials[[#This Row],[Lab Q Model Units 2]]</f>
        <v>#N/A</v>
      </c>
      <c r="AD399" s="367" t="e">
        <f>RawMaterials[[#This Row],[Lab Price 3]]/RawMaterials[[#This Row],[Lab Q Model Units 3]]</f>
        <v>#N/A</v>
      </c>
      <c r="AE399" s="367" t="e">
        <f>RawMaterials[[#This Row],[Lab Price 4]]/RawMaterials[[#This Row],[Lab Q Model Units 4]]</f>
        <v>#N/A</v>
      </c>
      <c r="AF399" s="367" t="str">
        <f ca="1">IF(RawMaterials[[#This Row],[Lab Quote Count]]&gt;1,SLOPE(LOG(INDIRECT("RawMaterials[@[Lab Unit P 1]:[Lab Unit P "&amp;RawMaterials[[#This Row],[Lab Quote Count]]&amp;"]]")),LOG(INDIRECT("RawMaterials[@[Lab Q Model Units 1]:[Lab Q Model Units "&amp;RawMaterials[[#This Row],[Lab Quote Count]]&amp;"]]"))),"")</f>
        <v/>
      </c>
      <c r="AG399" s="367" t="str">
        <f ca="1">IF(RawMaterials[[#This Row],[Lab Quote Count]]&gt;1,INTERCEPT(LOG(INDIRECT("RawMaterials[@[Lab Unit P 1]:[Lab Unit P "&amp;RawMaterials[[#This Row],[Lab Quote Count]]&amp;"]]")),LOG(INDIRECT("RawMaterials[@[Lab Q Model Units 1]:[Lab Q Model Units "&amp;RawMaterials[[#This Row],[Lab Quote Count]]&amp;"]]"))),"")</f>
        <v/>
      </c>
      <c r="AH399" s="368" t="str">
        <f>IF(RawMaterials[[#This Row],[Material Type]]="Metal Precursor","D13",IF(RawMaterials[[#This Row],[Material Type]]="Ligand","D13","D12"))</f>
        <v>D12</v>
      </c>
      <c r="AI399" s="369" t="str">
        <f ca="1">IF(RawMaterials[[#This Row],[Lab Quote Count]]&gt;1,10^RawMaterials[[#This Row],[Lab Log-Log Intercept]]*INDIRECT(RawMaterials[[#This Row],[Basis Cell]])^RawMaterials[[#This Row],[Lab Log-Log Slope]],"&gt;&gt;&gt; Enter 2 or more lab quotes &lt;&lt;&lt;")</f>
        <v>&gt;&gt;&gt; Enter 2 or more lab quotes &lt;&lt;&lt;</v>
      </c>
      <c r="AJ3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3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399" s="372">
        <f>IF(ISTEXT(RawMaterials[[#This Row],[Unit price in quote year]]),"Check calcs",RawMaterials[[#This Row],[Unit price in quote year]]/VLOOKUP(RawMaterials[[#This Row],[Quote Year]],ChemPPI[],14,FALSE)*VLOOKUP(BasisYear,ChemPPI[],14,FALSE))</f>
        <v>0.9771951219512196</v>
      </c>
      <c r="AM399" s="373" t="str">
        <f t="shared" si="5"/>
        <v>$/lb (2016)</v>
      </c>
    </row>
    <row r="400" spans="1:39">
      <c r="A400" s="377" t="s">
        <v>188</v>
      </c>
      <c r="B400" s="379"/>
      <c r="C400" s="383"/>
      <c r="D400" s="378"/>
      <c r="E400" s="379">
        <v>100</v>
      </c>
      <c r="F400" s="379"/>
      <c r="G400" s="383"/>
      <c r="H400" s="383"/>
      <c r="I400" s="380"/>
      <c r="J400" s="383"/>
      <c r="K400" s="383"/>
      <c r="L400" s="383"/>
      <c r="M400" s="383"/>
      <c r="N400" s="383"/>
      <c r="O400" s="383"/>
      <c r="P400" s="381">
        <v>793.5</v>
      </c>
      <c r="Q400" s="264">
        <v>1</v>
      </c>
      <c r="R400" s="379" t="s">
        <v>62</v>
      </c>
      <c r="S400" s="379">
        <v>2018</v>
      </c>
      <c r="T400" s="366" t="s">
        <v>1105</v>
      </c>
      <c r="U400" s="382">
        <v>43339</v>
      </c>
      <c r="V400" s="269" t="s">
        <v>1716</v>
      </c>
      <c r="W400" s="366">
        <f>COUNT(RawMaterials[[#This Row],[Lab Quantity 1]:[Lab Quantity 4]])</f>
        <v>0</v>
      </c>
      <c r="X4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0" s="367" t="e">
        <f>RawMaterials[[#This Row],[Lab Price 1]]/RawMaterials[[#This Row],[Lab Q Model Units 1]]</f>
        <v>#N/A</v>
      </c>
      <c r="AC400" s="367" t="e">
        <f>RawMaterials[[#This Row],[Lab Price 2]]/RawMaterials[[#This Row],[Lab Q Model Units 2]]</f>
        <v>#N/A</v>
      </c>
      <c r="AD400" s="367" t="e">
        <f>RawMaterials[[#This Row],[Lab Price 3]]/RawMaterials[[#This Row],[Lab Q Model Units 3]]</f>
        <v>#N/A</v>
      </c>
      <c r="AE400" s="367" t="e">
        <f>RawMaterials[[#This Row],[Lab Price 4]]/RawMaterials[[#This Row],[Lab Q Model Units 4]]</f>
        <v>#N/A</v>
      </c>
      <c r="AF400" s="367" t="str">
        <f ca="1">IF(RawMaterials[[#This Row],[Lab Quote Count]]&gt;1,SLOPE(LOG(INDIRECT("RawMaterials[@[Lab Unit P 1]:[Lab Unit P "&amp;RawMaterials[[#This Row],[Lab Quote Count]]&amp;"]]")),LOG(INDIRECT("RawMaterials[@[Lab Q Model Units 1]:[Lab Q Model Units "&amp;RawMaterials[[#This Row],[Lab Quote Count]]&amp;"]]"))),"")</f>
        <v/>
      </c>
      <c r="AG400" s="367" t="str">
        <f ca="1">IF(RawMaterials[[#This Row],[Lab Quote Count]]&gt;1,INTERCEPT(LOG(INDIRECT("RawMaterials[@[Lab Unit P 1]:[Lab Unit P "&amp;RawMaterials[[#This Row],[Lab Quote Count]]&amp;"]]")),LOG(INDIRECT("RawMaterials[@[Lab Q Model Units 1]:[Lab Q Model Units "&amp;RawMaterials[[#This Row],[Lab Quote Count]]&amp;"]]"))),"")</f>
        <v/>
      </c>
      <c r="AH400" s="368" t="str">
        <f>IF(RawMaterials[[#This Row],[Material Type]]="Metal Precursor","D13",IF(RawMaterials[[#This Row],[Material Type]]="Ligand","D13","D12"))</f>
        <v>D12</v>
      </c>
      <c r="AI400" s="369" t="str">
        <f ca="1">IF(RawMaterials[[#This Row],[Lab Quote Count]]&gt;1,10^RawMaterials[[#This Row],[Lab Log-Log Intercept]]*INDIRECT(RawMaterials[[#This Row],[Basis Cell]])^RawMaterials[[#This Row],[Lab Log-Log Slope]],"&gt;&gt;&gt; Enter 2 or more lab quotes &lt;&lt;&lt;")</f>
        <v>&gt;&gt;&gt; Enter 2 or more lab quotes &lt;&lt;&lt;</v>
      </c>
      <c r="AJ4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11571.875000000002</v>
      </c>
      <c r="AL400" s="372">
        <f>IF(ISTEXT(RawMaterials[[#This Row],[Unit price in quote year]]),"Check calcs",RawMaterials[[#This Row],[Unit price in quote year]]/VLOOKUP(RawMaterials[[#This Row],[Quote Year]],ChemPPI[],14,FALSE)*VLOOKUP(BasisYear,ChemPPI[],14,FALSE))</f>
        <v>10751.522932030057</v>
      </c>
      <c r="AM400" s="373" t="str">
        <f t="shared" ref="AM400:AM463" si="6">CurrencySymbol&amp;"/"&amp;OutMassUnit&amp;" ("&amp;BasisYear&amp;")"</f>
        <v>$/lb (2016)</v>
      </c>
    </row>
    <row r="401" spans="1:39">
      <c r="A401" s="263" t="s">
        <v>1499</v>
      </c>
      <c r="B401" s="264"/>
      <c r="C401" s="271"/>
      <c r="D401" s="365"/>
      <c r="E401" s="264">
        <v>100</v>
      </c>
      <c r="F401" s="264"/>
      <c r="G401" s="271"/>
      <c r="H401" s="271"/>
      <c r="I401" s="268"/>
      <c r="J401" s="271"/>
      <c r="K401" s="271"/>
      <c r="L401" s="271"/>
      <c r="M401" s="271"/>
      <c r="N401" s="271"/>
      <c r="O401" s="271"/>
      <c r="P401" s="265">
        <v>0.85</v>
      </c>
      <c r="Q401" s="264">
        <v>1</v>
      </c>
      <c r="R401" s="264" t="s">
        <v>20</v>
      </c>
      <c r="S401" s="264">
        <v>2008</v>
      </c>
      <c r="T401" s="266" t="s">
        <v>163</v>
      </c>
      <c r="U401" s="267">
        <v>42653</v>
      </c>
      <c r="V401" s="269"/>
      <c r="W401" s="366">
        <f>COUNT(RawMaterials[[#This Row],[Lab Quantity 1]:[Lab Quantity 4]])</f>
        <v>0</v>
      </c>
      <c r="X4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1" s="367" t="e">
        <f>RawMaterials[[#This Row],[Lab Price 1]]/RawMaterials[[#This Row],[Lab Q Model Units 1]]</f>
        <v>#N/A</v>
      </c>
      <c r="AC401" s="367" t="e">
        <f>RawMaterials[[#This Row],[Lab Price 2]]/RawMaterials[[#This Row],[Lab Q Model Units 2]]</f>
        <v>#N/A</v>
      </c>
      <c r="AD401" s="367" t="e">
        <f>RawMaterials[[#This Row],[Lab Price 3]]/RawMaterials[[#This Row],[Lab Q Model Units 3]]</f>
        <v>#N/A</v>
      </c>
      <c r="AE401" s="367" t="e">
        <f>RawMaterials[[#This Row],[Lab Price 4]]/RawMaterials[[#This Row],[Lab Q Model Units 4]]</f>
        <v>#N/A</v>
      </c>
      <c r="AF401" s="367" t="str">
        <f ca="1">IF(RawMaterials[[#This Row],[Lab Quote Count]]&gt;1,SLOPE(LOG(INDIRECT("RawMaterials[@[Lab Unit P 1]:[Lab Unit P "&amp;RawMaterials[[#This Row],[Lab Quote Count]]&amp;"]]")),LOG(INDIRECT("RawMaterials[@[Lab Q Model Units 1]:[Lab Q Model Units "&amp;RawMaterials[[#This Row],[Lab Quote Count]]&amp;"]]"))),"")</f>
        <v/>
      </c>
      <c r="AG401" s="367" t="str">
        <f ca="1">IF(RawMaterials[[#This Row],[Lab Quote Count]]&gt;1,INTERCEPT(LOG(INDIRECT("RawMaterials[@[Lab Unit P 1]:[Lab Unit P "&amp;RawMaterials[[#This Row],[Lab Quote Count]]&amp;"]]")),LOG(INDIRECT("RawMaterials[@[Lab Q Model Units 1]:[Lab Q Model Units "&amp;RawMaterials[[#This Row],[Lab Quote Count]]&amp;"]]"))),"")</f>
        <v/>
      </c>
      <c r="AH401" s="368" t="str">
        <f>IF(RawMaterials[[#This Row],[Material Type]]="Metal Precursor","D13",IF(RawMaterials[[#This Row],[Material Type]]="Ligand","D13","D12"))</f>
        <v>D12</v>
      </c>
      <c r="AI401" s="369" t="str">
        <f ca="1">IF(RawMaterials[[#This Row],[Lab Quote Count]]&gt;1,10^RawMaterials[[#This Row],[Lab Log-Log Intercept]]*INDIRECT(RawMaterials[[#This Row],[Basis Cell]])^RawMaterials[[#This Row],[Lab Log-Log Slope]],"&gt;&gt;&gt; Enter 2 or more lab quotes &lt;&lt;&lt;")</f>
        <v>&gt;&gt;&gt; Enter 2 or more lab quotes &lt;&lt;&lt;</v>
      </c>
      <c r="AJ4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401" s="372">
        <f>IF(ISTEXT(RawMaterials[[#This Row],[Unit price in quote year]]),"Check calcs",RawMaterials[[#This Row],[Unit price in quote year]]/VLOOKUP(RawMaterials[[#This Row],[Quote Year]],ChemPPI[],14,FALSE)*VLOOKUP(BasisYear,ChemPPI[],14,FALSE))</f>
        <v>0.99485849917838232</v>
      </c>
      <c r="AM401" s="373" t="str">
        <f t="shared" si="6"/>
        <v>$/lb (2016)</v>
      </c>
    </row>
    <row r="402" spans="1:39">
      <c r="A402" s="263" t="s">
        <v>1500</v>
      </c>
      <c r="B402" s="264"/>
      <c r="C402" s="271"/>
      <c r="D402" s="365"/>
      <c r="E402" s="264">
        <v>100</v>
      </c>
      <c r="F402" s="264"/>
      <c r="G402" s="271"/>
      <c r="H402" s="271"/>
      <c r="I402" s="268"/>
      <c r="J402" s="271"/>
      <c r="K402" s="271"/>
      <c r="L402" s="271"/>
      <c r="M402" s="271"/>
      <c r="N402" s="271"/>
      <c r="O402" s="271"/>
      <c r="P402" s="265">
        <v>1.95</v>
      </c>
      <c r="Q402" s="264">
        <v>1</v>
      </c>
      <c r="R402" s="264" t="s">
        <v>20</v>
      </c>
      <c r="S402" s="264">
        <v>2008</v>
      </c>
      <c r="T402" s="266" t="s">
        <v>163</v>
      </c>
      <c r="U402" s="267">
        <v>42653</v>
      </c>
      <c r="V402" s="269"/>
      <c r="W402" s="366">
        <f>COUNT(RawMaterials[[#This Row],[Lab Quantity 1]:[Lab Quantity 4]])</f>
        <v>0</v>
      </c>
      <c r="X4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2" s="367" t="e">
        <f>RawMaterials[[#This Row],[Lab Price 1]]/RawMaterials[[#This Row],[Lab Q Model Units 1]]</f>
        <v>#N/A</v>
      </c>
      <c r="AC402" s="367" t="e">
        <f>RawMaterials[[#This Row],[Lab Price 2]]/RawMaterials[[#This Row],[Lab Q Model Units 2]]</f>
        <v>#N/A</v>
      </c>
      <c r="AD402" s="367" t="e">
        <f>RawMaterials[[#This Row],[Lab Price 3]]/RawMaterials[[#This Row],[Lab Q Model Units 3]]</f>
        <v>#N/A</v>
      </c>
      <c r="AE402" s="367" t="e">
        <f>RawMaterials[[#This Row],[Lab Price 4]]/RawMaterials[[#This Row],[Lab Q Model Units 4]]</f>
        <v>#N/A</v>
      </c>
      <c r="AF402" s="367" t="str">
        <f ca="1">IF(RawMaterials[[#This Row],[Lab Quote Count]]&gt;1,SLOPE(LOG(INDIRECT("RawMaterials[@[Lab Unit P 1]:[Lab Unit P "&amp;RawMaterials[[#This Row],[Lab Quote Count]]&amp;"]]")),LOG(INDIRECT("RawMaterials[@[Lab Q Model Units 1]:[Lab Q Model Units "&amp;RawMaterials[[#This Row],[Lab Quote Count]]&amp;"]]"))),"")</f>
        <v/>
      </c>
      <c r="AG402" s="367" t="str">
        <f ca="1">IF(RawMaterials[[#This Row],[Lab Quote Count]]&gt;1,INTERCEPT(LOG(INDIRECT("RawMaterials[@[Lab Unit P 1]:[Lab Unit P "&amp;RawMaterials[[#This Row],[Lab Quote Count]]&amp;"]]")),LOG(INDIRECT("RawMaterials[@[Lab Q Model Units 1]:[Lab Q Model Units "&amp;RawMaterials[[#This Row],[Lab Quote Count]]&amp;"]]"))),"")</f>
        <v/>
      </c>
      <c r="AH402" s="368" t="str">
        <f>IF(RawMaterials[[#This Row],[Material Type]]="Metal Precursor","D13",IF(RawMaterials[[#This Row],[Material Type]]="Ligand","D13","D12"))</f>
        <v>D12</v>
      </c>
      <c r="AI402" s="369" t="str">
        <f ca="1">IF(RawMaterials[[#This Row],[Lab Quote Count]]&gt;1,10^RawMaterials[[#This Row],[Lab Log-Log Intercept]]*INDIRECT(RawMaterials[[#This Row],[Basis Cell]])^RawMaterials[[#This Row],[Lab Log-Log Slope]],"&gt;&gt;&gt; Enter 2 or more lab quotes &lt;&lt;&lt;")</f>
        <v>&gt;&gt;&gt; Enter 2 or more lab quotes &lt;&lt;&lt;</v>
      </c>
      <c r="AJ4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02" s="372">
        <f>IF(ISTEXT(RawMaterials[[#This Row],[Unit price in quote year]]),"Check calcs",RawMaterials[[#This Row],[Unit price in quote year]]/VLOOKUP(RawMaterials[[#This Row],[Quote Year]],ChemPPI[],14,FALSE)*VLOOKUP(BasisYear,ChemPPI[],14,FALSE))</f>
        <v>2.2823224392915833</v>
      </c>
      <c r="AM402" s="373" t="str">
        <f t="shared" si="6"/>
        <v>$/lb (2016)</v>
      </c>
    </row>
    <row r="403" spans="1:39">
      <c r="A403" s="263" t="s">
        <v>1501</v>
      </c>
      <c r="B403" s="264"/>
      <c r="C403" s="271"/>
      <c r="D403" s="365"/>
      <c r="E403" s="264">
        <v>100</v>
      </c>
      <c r="F403" s="264"/>
      <c r="G403" s="271"/>
      <c r="H403" s="271"/>
      <c r="I403" s="268"/>
      <c r="J403" s="271"/>
      <c r="K403" s="271"/>
      <c r="L403" s="271"/>
      <c r="M403" s="271"/>
      <c r="N403" s="271"/>
      <c r="O403" s="271"/>
      <c r="P403" s="265">
        <v>1.94</v>
      </c>
      <c r="Q403" s="264">
        <v>1</v>
      </c>
      <c r="R403" s="264" t="s">
        <v>20</v>
      </c>
      <c r="S403" s="264">
        <v>2008</v>
      </c>
      <c r="T403" s="266" t="s">
        <v>163</v>
      </c>
      <c r="U403" s="267">
        <v>42653</v>
      </c>
      <c r="V403" s="269"/>
      <c r="W403" s="366">
        <f>COUNT(RawMaterials[[#This Row],[Lab Quantity 1]:[Lab Quantity 4]])</f>
        <v>0</v>
      </c>
      <c r="X4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3" s="367" t="e">
        <f>RawMaterials[[#This Row],[Lab Price 1]]/RawMaterials[[#This Row],[Lab Q Model Units 1]]</f>
        <v>#N/A</v>
      </c>
      <c r="AC403" s="367" t="e">
        <f>RawMaterials[[#This Row],[Lab Price 2]]/RawMaterials[[#This Row],[Lab Q Model Units 2]]</f>
        <v>#N/A</v>
      </c>
      <c r="AD403" s="367" t="e">
        <f>RawMaterials[[#This Row],[Lab Price 3]]/RawMaterials[[#This Row],[Lab Q Model Units 3]]</f>
        <v>#N/A</v>
      </c>
      <c r="AE403" s="367" t="e">
        <f>RawMaterials[[#This Row],[Lab Price 4]]/RawMaterials[[#This Row],[Lab Q Model Units 4]]</f>
        <v>#N/A</v>
      </c>
      <c r="AF403" s="367" t="str">
        <f ca="1">IF(RawMaterials[[#This Row],[Lab Quote Count]]&gt;1,SLOPE(LOG(INDIRECT("RawMaterials[@[Lab Unit P 1]:[Lab Unit P "&amp;RawMaterials[[#This Row],[Lab Quote Count]]&amp;"]]")),LOG(INDIRECT("RawMaterials[@[Lab Q Model Units 1]:[Lab Q Model Units "&amp;RawMaterials[[#This Row],[Lab Quote Count]]&amp;"]]"))),"")</f>
        <v/>
      </c>
      <c r="AG403" s="367" t="str">
        <f ca="1">IF(RawMaterials[[#This Row],[Lab Quote Count]]&gt;1,INTERCEPT(LOG(INDIRECT("RawMaterials[@[Lab Unit P 1]:[Lab Unit P "&amp;RawMaterials[[#This Row],[Lab Quote Count]]&amp;"]]")),LOG(INDIRECT("RawMaterials[@[Lab Q Model Units 1]:[Lab Q Model Units "&amp;RawMaterials[[#This Row],[Lab Quote Count]]&amp;"]]"))),"")</f>
        <v/>
      </c>
      <c r="AH403" s="368" t="str">
        <f>IF(RawMaterials[[#This Row],[Material Type]]="Metal Precursor","D13",IF(RawMaterials[[#This Row],[Material Type]]="Ligand","D13","D12"))</f>
        <v>D12</v>
      </c>
      <c r="AI403" s="369" t="str">
        <f ca="1">IF(RawMaterials[[#This Row],[Lab Quote Count]]&gt;1,10^RawMaterials[[#This Row],[Lab Log-Log Intercept]]*INDIRECT(RawMaterials[[#This Row],[Basis Cell]])^RawMaterials[[#This Row],[Lab Log-Log Slope]],"&gt;&gt;&gt; Enter 2 or more lab quotes &lt;&lt;&lt;")</f>
        <v>&gt;&gt;&gt; Enter 2 or more lab quotes &lt;&lt;&lt;</v>
      </c>
      <c r="AJ4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03" s="372">
        <f>IF(ISTEXT(RawMaterials[[#This Row],[Unit price in quote year]]),"Check calcs",RawMaterials[[#This Row],[Unit price in quote year]]/VLOOKUP(RawMaterials[[#This Row],[Quote Year]],ChemPPI[],14,FALSE)*VLOOKUP(BasisYear,ChemPPI[],14,FALSE))</f>
        <v>2.2706182216541899</v>
      </c>
      <c r="AM403" s="373" t="str">
        <f t="shared" si="6"/>
        <v>$/lb (2016)</v>
      </c>
    </row>
    <row r="404" spans="1:39">
      <c r="A404" s="263" t="s">
        <v>1502</v>
      </c>
      <c r="B404" s="264"/>
      <c r="C404" s="271"/>
      <c r="D404" s="365"/>
      <c r="E404" s="264">
        <v>100</v>
      </c>
      <c r="F404" s="264"/>
      <c r="G404" s="271"/>
      <c r="H404" s="271"/>
      <c r="I404" s="268"/>
      <c r="J404" s="271"/>
      <c r="K404" s="271"/>
      <c r="L404" s="271"/>
      <c r="M404" s="271"/>
      <c r="N404" s="271"/>
      <c r="O404" s="271"/>
      <c r="P404" s="265">
        <v>1.42</v>
      </c>
      <c r="Q404" s="264">
        <v>1</v>
      </c>
      <c r="R404" s="264" t="s">
        <v>20</v>
      </c>
      <c r="S404" s="264">
        <v>2008</v>
      </c>
      <c r="T404" s="266" t="s">
        <v>163</v>
      </c>
      <c r="U404" s="267">
        <v>42653</v>
      </c>
      <c r="V404" s="269"/>
      <c r="W404" s="366">
        <f>COUNT(RawMaterials[[#This Row],[Lab Quantity 1]:[Lab Quantity 4]])</f>
        <v>0</v>
      </c>
      <c r="X4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4" s="367" t="e">
        <f>RawMaterials[[#This Row],[Lab Price 1]]/RawMaterials[[#This Row],[Lab Q Model Units 1]]</f>
        <v>#N/A</v>
      </c>
      <c r="AC404" s="367" t="e">
        <f>RawMaterials[[#This Row],[Lab Price 2]]/RawMaterials[[#This Row],[Lab Q Model Units 2]]</f>
        <v>#N/A</v>
      </c>
      <c r="AD404" s="367" t="e">
        <f>RawMaterials[[#This Row],[Lab Price 3]]/RawMaterials[[#This Row],[Lab Q Model Units 3]]</f>
        <v>#N/A</v>
      </c>
      <c r="AE404" s="367" t="e">
        <f>RawMaterials[[#This Row],[Lab Price 4]]/RawMaterials[[#This Row],[Lab Q Model Units 4]]</f>
        <v>#N/A</v>
      </c>
      <c r="AF404" s="367" t="str">
        <f ca="1">IF(RawMaterials[[#This Row],[Lab Quote Count]]&gt;1,SLOPE(LOG(INDIRECT("RawMaterials[@[Lab Unit P 1]:[Lab Unit P "&amp;RawMaterials[[#This Row],[Lab Quote Count]]&amp;"]]")),LOG(INDIRECT("RawMaterials[@[Lab Q Model Units 1]:[Lab Q Model Units "&amp;RawMaterials[[#This Row],[Lab Quote Count]]&amp;"]]"))),"")</f>
        <v/>
      </c>
      <c r="AG404" s="367" t="str">
        <f ca="1">IF(RawMaterials[[#This Row],[Lab Quote Count]]&gt;1,INTERCEPT(LOG(INDIRECT("RawMaterials[@[Lab Unit P 1]:[Lab Unit P "&amp;RawMaterials[[#This Row],[Lab Quote Count]]&amp;"]]")),LOG(INDIRECT("RawMaterials[@[Lab Q Model Units 1]:[Lab Q Model Units "&amp;RawMaterials[[#This Row],[Lab Quote Count]]&amp;"]]"))),"")</f>
        <v/>
      </c>
      <c r="AH404" s="368" t="str">
        <f>IF(RawMaterials[[#This Row],[Material Type]]="Metal Precursor","D13",IF(RawMaterials[[#This Row],[Material Type]]="Ligand","D13","D12"))</f>
        <v>D12</v>
      </c>
      <c r="AI404" s="369" t="str">
        <f ca="1">IF(RawMaterials[[#This Row],[Lab Quote Count]]&gt;1,10^RawMaterials[[#This Row],[Lab Log-Log Intercept]]*INDIRECT(RawMaterials[[#This Row],[Basis Cell]])^RawMaterials[[#This Row],[Lab Log-Log Slope]],"&gt;&gt;&gt; Enter 2 or more lab quotes &lt;&lt;&lt;")</f>
        <v>&gt;&gt;&gt; Enter 2 or more lab quotes &lt;&lt;&lt;</v>
      </c>
      <c r="AJ4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1.42</v>
      </c>
      <c r="AL404" s="372">
        <f>IF(ISTEXT(RawMaterials[[#This Row],[Unit price in quote year]]),"Check calcs",RawMaterials[[#This Row],[Unit price in quote year]]/VLOOKUP(RawMaterials[[#This Row],[Quote Year]],ChemPPI[],14,FALSE)*VLOOKUP(BasisYear,ChemPPI[],14,FALSE))</f>
        <v>1.6619989045097683</v>
      </c>
      <c r="AM404" s="373" t="str">
        <f t="shared" si="6"/>
        <v>$/lb (2016)</v>
      </c>
    </row>
    <row r="405" spans="1:39">
      <c r="A405" s="263" t="s">
        <v>1503</v>
      </c>
      <c r="B405" s="264"/>
      <c r="C405" s="271"/>
      <c r="D405" s="365"/>
      <c r="E405" s="264">
        <v>100</v>
      </c>
      <c r="F405" s="264"/>
      <c r="G405" s="271"/>
      <c r="H405" s="271"/>
      <c r="I405" s="268"/>
      <c r="J405" s="271"/>
      <c r="K405" s="271"/>
      <c r="L405" s="271"/>
      <c r="M405" s="271"/>
      <c r="N405" s="271"/>
      <c r="O405" s="271"/>
      <c r="P405" s="265">
        <v>1.51</v>
      </c>
      <c r="Q405" s="264">
        <v>1</v>
      </c>
      <c r="R405" s="264" t="s">
        <v>20</v>
      </c>
      <c r="S405" s="264">
        <v>2008</v>
      </c>
      <c r="T405" s="266" t="s">
        <v>163</v>
      </c>
      <c r="U405" s="267">
        <v>42653</v>
      </c>
      <c r="V405" s="269"/>
      <c r="W405" s="366">
        <f>COUNT(RawMaterials[[#This Row],[Lab Quantity 1]:[Lab Quantity 4]])</f>
        <v>0</v>
      </c>
      <c r="X4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5" s="367" t="e">
        <f>RawMaterials[[#This Row],[Lab Price 1]]/RawMaterials[[#This Row],[Lab Q Model Units 1]]</f>
        <v>#N/A</v>
      </c>
      <c r="AC405" s="367" t="e">
        <f>RawMaterials[[#This Row],[Lab Price 2]]/RawMaterials[[#This Row],[Lab Q Model Units 2]]</f>
        <v>#N/A</v>
      </c>
      <c r="AD405" s="367" t="e">
        <f>RawMaterials[[#This Row],[Lab Price 3]]/RawMaterials[[#This Row],[Lab Q Model Units 3]]</f>
        <v>#N/A</v>
      </c>
      <c r="AE405" s="367" t="e">
        <f>RawMaterials[[#This Row],[Lab Price 4]]/RawMaterials[[#This Row],[Lab Q Model Units 4]]</f>
        <v>#N/A</v>
      </c>
      <c r="AF405" s="367" t="str">
        <f ca="1">IF(RawMaterials[[#This Row],[Lab Quote Count]]&gt;1,SLOPE(LOG(INDIRECT("RawMaterials[@[Lab Unit P 1]:[Lab Unit P "&amp;RawMaterials[[#This Row],[Lab Quote Count]]&amp;"]]")),LOG(INDIRECT("RawMaterials[@[Lab Q Model Units 1]:[Lab Q Model Units "&amp;RawMaterials[[#This Row],[Lab Quote Count]]&amp;"]]"))),"")</f>
        <v/>
      </c>
      <c r="AG405" s="367" t="str">
        <f ca="1">IF(RawMaterials[[#This Row],[Lab Quote Count]]&gt;1,INTERCEPT(LOG(INDIRECT("RawMaterials[@[Lab Unit P 1]:[Lab Unit P "&amp;RawMaterials[[#This Row],[Lab Quote Count]]&amp;"]]")),LOG(INDIRECT("RawMaterials[@[Lab Q Model Units 1]:[Lab Q Model Units "&amp;RawMaterials[[#This Row],[Lab Quote Count]]&amp;"]]"))),"")</f>
        <v/>
      </c>
      <c r="AH405" s="368" t="str">
        <f>IF(RawMaterials[[#This Row],[Material Type]]="Metal Precursor","D13",IF(RawMaterials[[#This Row],[Material Type]]="Ligand","D13","D12"))</f>
        <v>D12</v>
      </c>
      <c r="AI405" s="369" t="str">
        <f ca="1">IF(RawMaterials[[#This Row],[Lab Quote Count]]&gt;1,10^RawMaterials[[#This Row],[Lab Log-Log Intercept]]*INDIRECT(RawMaterials[[#This Row],[Basis Cell]])^RawMaterials[[#This Row],[Lab Log-Log Slope]],"&gt;&gt;&gt; Enter 2 or more lab quotes &lt;&lt;&lt;")</f>
        <v>&gt;&gt;&gt; Enter 2 or more lab quotes &lt;&lt;&lt;</v>
      </c>
      <c r="AJ4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05" s="372">
        <f>IF(ISTEXT(RawMaterials[[#This Row],[Unit price in quote year]]),"Check calcs",RawMaterials[[#This Row],[Unit price in quote year]]/VLOOKUP(RawMaterials[[#This Row],[Quote Year]],ChemPPI[],14,FALSE)*VLOOKUP(BasisYear,ChemPPI[],14,FALSE))</f>
        <v>1.7673368632463027</v>
      </c>
      <c r="AM405" s="373" t="str">
        <f t="shared" si="6"/>
        <v>$/lb (2016)</v>
      </c>
    </row>
    <row r="406" spans="1:39">
      <c r="A406" s="263" t="s">
        <v>1504</v>
      </c>
      <c r="B406" s="264"/>
      <c r="C406" s="271"/>
      <c r="D406" s="365"/>
      <c r="E406" s="264">
        <v>100</v>
      </c>
      <c r="F406" s="264"/>
      <c r="G406" s="271"/>
      <c r="H406" s="271"/>
      <c r="I406" s="268"/>
      <c r="J406" s="271"/>
      <c r="K406" s="271"/>
      <c r="L406" s="271"/>
      <c r="M406" s="271"/>
      <c r="N406" s="271"/>
      <c r="O406" s="271"/>
      <c r="P406" s="265">
        <v>2.02</v>
      </c>
      <c r="Q406" s="264">
        <v>1</v>
      </c>
      <c r="R406" s="264" t="s">
        <v>20</v>
      </c>
      <c r="S406" s="264">
        <v>2008</v>
      </c>
      <c r="T406" s="266" t="s">
        <v>163</v>
      </c>
      <c r="U406" s="267">
        <v>42653</v>
      </c>
      <c r="V406" s="269"/>
      <c r="W406" s="366">
        <f>COUNT(RawMaterials[[#This Row],[Lab Quantity 1]:[Lab Quantity 4]])</f>
        <v>0</v>
      </c>
      <c r="X4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6" s="367" t="e">
        <f>RawMaterials[[#This Row],[Lab Price 1]]/RawMaterials[[#This Row],[Lab Q Model Units 1]]</f>
        <v>#N/A</v>
      </c>
      <c r="AC406" s="367" t="e">
        <f>RawMaterials[[#This Row],[Lab Price 2]]/RawMaterials[[#This Row],[Lab Q Model Units 2]]</f>
        <v>#N/A</v>
      </c>
      <c r="AD406" s="367" t="e">
        <f>RawMaterials[[#This Row],[Lab Price 3]]/RawMaterials[[#This Row],[Lab Q Model Units 3]]</f>
        <v>#N/A</v>
      </c>
      <c r="AE406" s="367" t="e">
        <f>RawMaterials[[#This Row],[Lab Price 4]]/RawMaterials[[#This Row],[Lab Q Model Units 4]]</f>
        <v>#N/A</v>
      </c>
      <c r="AF406" s="367" t="str">
        <f ca="1">IF(RawMaterials[[#This Row],[Lab Quote Count]]&gt;1,SLOPE(LOG(INDIRECT("RawMaterials[@[Lab Unit P 1]:[Lab Unit P "&amp;RawMaterials[[#This Row],[Lab Quote Count]]&amp;"]]")),LOG(INDIRECT("RawMaterials[@[Lab Q Model Units 1]:[Lab Q Model Units "&amp;RawMaterials[[#This Row],[Lab Quote Count]]&amp;"]]"))),"")</f>
        <v/>
      </c>
      <c r="AG406" s="367" t="str">
        <f ca="1">IF(RawMaterials[[#This Row],[Lab Quote Count]]&gt;1,INTERCEPT(LOG(INDIRECT("RawMaterials[@[Lab Unit P 1]:[Lab Unit P "&amp;RawMaterials[[#This Row],[Lab Quote Count]]&amp;"]]")),LOG(INDIRECT("RawMaterials[@[Lab Q Model Units 1]:[Lab Q Model Units "&amp;RawMaterials[[#This Row],[Lab Quote Count]]&amp;"]]"))),"")</f>
        <v/>
      </c>
      <c r="AH406" s="368" t="str">
        <f>IF(RawMaterials[[#This Row],[Material Type]]="Metal Precursor","D13",IF(RawMaterials[[#This Row],[Material Type]]="Ligand","D13","D12"))</f>
        <v>D12</v>
      </c>
      <c r="AI406" s="369" t="str">
        <f ca="1">IF(RawMaterials[[#This Row],[Lab Quote Count]]&gt;1,10^RawMaterials[[#This Row],[Lab Log-Log Intercept]]*INDIRECT(RawMaterials[[#This Row],[Basis Cell]])^RawMaterials[[#This Row],[Lab Log-Log Slope]],"&gt;&gt;&gt; Enter 2 or more lab quotes &lt;&lt;&lt;")</f>
        <v>&gt;&gt;&gt; Enter 2 or more lab quotes &lt;&lt;&lt;</v>
      </c>
      <c r="AJ4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v>
      </c>
      <c r="AL406" s="372">
        <f>IF(ISTEXT(RawMaterials[[#This Row],[Unit price in quote year]]),"Check calcs",RawMaterials[[#This Row],[Unit price in quote year]]/VLOOKUP(RawMaterials[[#This Row],[Quote Year]],ChemPPI[],14,FALSE)*VLOOKUP(BasisYear,ChemPPI[],14,FALSE))</f>
        <v>2.3642519627533325</v>
      </c>
      <c r="AM406" s="373" t="str">
        <f t="shared" si="6"/>
        <v>$/lb (2016)</v>
      </c>
    </row>
    <row r="407" spans="1:39">
      <c r="A407" s="263" t="s">
        <v>1505</v>
      </c>
      <c r="B407" s="264"/>
      <c r="C407" s="271"/>
      <c r="D407" s="365"/>
      <c r="E407" s="264">
        <v>100</v>
      </c>
      <c r="F407" s="264"/>
      <c r="G407" s="271"/>
      <c r="H407" s="271"/>
      <c r="I407" s="268"/>
      <c r="J407" s="271"/>
      <c r="K407" s="271"/>
      <c r="L407" s="271"/>
      <c r="M407" s="271"/>
      <c r="N407" s="271"/>
      <c r="O407" s="271"/>
      <c r="P407" s="265">
        <v>2.0299999999999998</v>
      </c>
      <c r="Q407" s="264">
        <v>1</v>
      </c>
      <c r="R407" s="264" t="s">
        <v>20</v>
      </c>
      <c r="S407" s="264">
        <v>2008</v>
      </c>
      <c r="T407" s="266" t="s">
        <v>163</v>
      </c>
      <c r="U407" s="267">
        <v>42653</v>
      </c>
      <c r="V407" s="269"/>
      <c r="W407" s="366">
        <f>COUNT(RawMaterials[[#This Row],[Lab Quantity 1]:[Lab Quantity 4]])</f>
        <v>0</v>
      </c>
      <c r="X4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7" s="367" t="e">
        <f>RawMaterials[[#This Row],[Lab Price 1]]/RawMaterials[[#This Row],[Lab Q Model Units 1]]</f>
        <v>#N/A</v>
      </c>
      <c r="AC407" s="367" t="e">
        <f>RawMaterials[[#This Row],[Lab Price 2]]/RawMaterials[[#This Row],[Lab Q Model Units 2]]</f>
        <v>#N/A</v>
      </c>
      <c r="AD407" s="367" t="e">
        <f>RawMaterials[[#This Row],[Lab Price 3]]/RawMaterials[[#This Row],[Lab Q Model Units 3]]</f>
        <v>#N/A</v>
      </c>
      <c r="AE407" s="367" t="e">
        <f>RawMaterials[[#This Row],[Lab Price 4]]/RawMaterials[[#This Row],[Lab Q Model Units 4]]</f>
        <v>#N/A</v>
      </c>
      <c r="AF407" s="367" t="str">
        <f ca="1">IF(RawMaterials[[#This Row],[Lab Quote Count]]&gt;1,SLOPE(LOG(INDIRECT("RawMaterials[@[Lab Unit P 1]:[Lab Unit P "&amp;RawMaterials[[#This Row],[Lab Quote Count]]&amp;"]]")),LOG(INDIRECT("RawMaterials[@[Lab Q Model Units 1]:[Lab Q Model Units "&amp;RawMaterials[[#This Row],[Lab Quote Count]]&amp;"]]"))),"")</f>
        <v/>
      </c>
      <c r="AG407" s="367" t="str">
        <f ca="1">IF(RawMaterials[[#This Row],[Lab Quote Count]]&gt;1,INTERCEPT(LOG(INDIRECT("RawMaterials[@[Lab Unit P 1]:[Lab Unit P "&amp;RawMaterials[[#This Row],[Lab Quote Count]]&amp;"]]")),LOG(INDIRECT("RawMaterials[@[Lab Q Model Units 1]:[Lab Q Model Units "&amp;RawMaterials[[#This Row],[Lab Quote Count]]&amp;"]]"))),"")</f>
        <v/>
      </c>
      <c r="AH407" s="368" t="str">
        <f>IF(RawMaterials[[#This Row],[Material Type]]="Metal Precursor","D13",IF(RawMaterials[[#This Row],[Material Type]]="Ligand","D13","D12"))</f>
        <v>D12</v>
      </c>
      <c r="AI407" s="369" t="str">
        <f ca="1">IF(RawMaterials[[#This Row],[Lab Quote Count]]&gt;1,10^RawMaterials[[#This Row],[Lab Log-Log Intercept]]*INDIRECT(RawMaterials[[#This Row],[Basis Cell]])^RawMaterials[[#This Row],[Lab Log-Log Slope]],"&gt;&gt;&gt; Enter 2 or more lab quotes &lt;&lt;&lt;")</f>
        <v>&gt;&gt;&gt; Enter 2 or more lab quotes &lt;&lt;&lt;</v>
      </c>
      <c r="AJ4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2.0299999999999998</v>
      </c>
      <c r="AL407" s="372">
        <f>IF(ISTEXT(RawMaterials[[#This Row],[Unit price in quote year]]),"Check calcs",RawMaterials[[#This Row],[Unit price in quote year]]/VLOOKUP(RawMaterials[[#This Row],[Quote Year]],ChemPPI[],14,FALSE)*VLOOKUP(BasisYear,ChemPPI[],14,FALSE))</f>
        <v>2.375956180390725</v>
      </c>
      <c r="AM407" s="373" t="str">
        <f t="shared" si="6"/>
        <v>$/lb (2016)</v>
      </c>
    </row>
    <row r="408" spans="1:39">
      <c r="A408" s="263" t="s">
        <v>1506</v>
      </c>
      <c r="B408" s="264"/>
      <c r="C408" s="271"/>
      <c r="D408" s="365"/>
      <c r="E408" s="264">
        <v>100</v>
      </c>
      <c r="F408" s="264"/>
      <c r="G408" s="271"/>
      <c r="H408" s="271"/>
      <c r="I408" s="268"/>
      <c r="J408" s="271"/>
      <c r="K408" s="271"/>
      <c r="L408" s="271"/>
      <c r="M408" s="271"/>
      <c r="N408" s="271"/>
      <c r="O408" s="271"/>
      <c r="P408" s="265">
        <v>1.4350000000000001</v>
      </c>
      <c r="Q408" s="264">
        <v>1</v>
      </c>
      <c r="R408" s="264" t="s">
        <v>20</v>
      </c>
      <c r="S408" s="264">
        <v>2008</v>
      </c>
      <c r="T408" s="266" t="s">
        <v>163</v>
      </c>
      <c r="U408" s="267">
        <v>42653</v>
      </c>
      <c r="V408" s="269"/>
      <c r="W408" s="366">
        <f>COUNT(RawMaterials[[#This Row],[Lab Quantity 1]:[Lab Quantity 4]])</f>
        <v>0</v>
      </c>
      <c r="X4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8" s="367" t="e">
        <f>RawMaterials[[#This Row],[Lab Price 1]]/RawMaterials[[#This Row],[Lab Q Model Units 1]]</f>
        <v>#N/A</v>
      </c>
      <c r="AC408" s="367" t="e">
        <f>RawMaterials[[#This Row],[Lab Price 2]]/RawMaterials[[#This Row],[Lab Q Model Units 2]]</f>
        <v>#N/A</v>
      </c>
      <c r="AD408" s="367" t="e">
        <f>RawMaterials[[#This Row],[Lab Price 3]]/RawMaterials[[#This Row],[Lab Q Model Units 3]]</f>
        <v>#N/A</v>
      </c>
      <c r="AE408" s="367" t="e">
        <f>RawMaterials[[#This Row],[Lab Price 4]]/RawMaterials[[#This Row],[Lab Q Model Units 4]]</f>
        <v>#N/A</v>
      </c>
      <c r="AF408" s="367" t="str">
        <f ca="1">IF(RawMaterials[[#This Row],[Lab Quote Count]]&gt;1,SLOPE(LOG(INDIRECT("RawMaterials[@[Lab Unit P 1]:[Lab Unit P "&amp;RawMaterials[[#This Row],[Lab Quote Count]]&amp;"]]")),LOG(INDIRECT("RawMaterials[@[Lab Q Model Units 1]:[Lab Q Model Units "&amp;RawMaterials[[#This Row],[Lab Quote Count]]&amp;"]]"))),"")</f>
        <v/>
      </c>
      <c r="AG408" s="367" t="str">
        <f ca="1">IF(RawMaterials[[#This Row],[Lab Quote Count]]&gt;1,INTERCEPT(LOG(INDIRECT("RawMaterials[@[Lab Unit P 1]:[Lab Unit P "&amp;RawMaterials[[#This Row],[Lab Quote Count]]&amp;"]]")),LOG(INDIRECT("RawMaterials[@[Lab Q Model Units 1]:[Lab Q Model Units "&amp;RawMaterials[[#This Row],[Lab Quote Count]]&amp;"]]"))),"")</f>
        <v/>
      </c>
      <c r="AH408" s="368" t="str">
        <f>IF(RawMaterials[[#This Row],[Material Type]]="Metal Precursor","D13",IF(RawMaterials[[#This Row],[Material Type]]="Ligand","D13","D12"))</f>
        <v>D12</v>
      </c>
      <c r="AI408" s="369" t="str">
        <f ca="1">IF(RawMaterials[[#This Row],[Lab Quote Count]]&gt;1,10^RawMaterials[[#This Row],[Lab Log-Log Intercept]]*INDIRECT(RawMaterials[[#This Row],[Basis Cell]])^RawMaterials[[#This Row],[Lab Log-Log Slope]],"&gt;&gt;&gt; Enter 2 or more lab quotes &lt;&lt;&lt;")</f>
        <v>&gt;&gt;&gt; Enter 2 or more lab quotes &lt;&lt;&lt;</v>
      </c>
      <c r="AJ4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1.4350000000000001</v>
      </c>
      <c r="AL408" s="372">
        <f>IF(ISTEXT(RawMaterials[[#This Row],[Unit price in quote year]]),"Check calcs",RawMaterials[[#This Row],[Unit price in quote year]]/VLOOKUP(RawMaterials[[#This Row],[Quote Year]],ChemPPI[],14,FALSE)*VLOOKUP(BasisYear,ChemPPI[],14,FALSE))</f>
        <v>1.6795552309658572</v>
      </c>
      <c r="AM408" s="373" t="str">
        <f t="shared" si="6"/>
        <v>$/lb (2016)</v>
      </c>
    </row>
    <row r="409" spans="1:39">
      <c r="A409" s="263" t="s">
        <v>1507</v>
      </c>
      <c r="B409" s="264"/>
      <c r="C409" s="271"/>
      <c r="D409" s="365"/>
      <c r="E409" s="264">
        <v>100</v>
      </c>
      <c r="F409" s="264"/>
      <c r="G409" s="271"/>
      <c r="H409" s="271"/>
      <c r="I409" s="268"/>
      <c r="J409" s="271"/>
      <c r="K409" s="271"/>
      <c r="L409" s="271"/>
      <c r="M409" s="271"/>
      <c r="N409" s="271"/>
      <c r="O409" s="271"/>
      <c r="P409" s="265">
        <v>1</v>
      </c>
      <c r="Q409" s="264">
        <v>1</v>
      </c>
      <c r="R409" s="264" t="s">
        <v>20</v>
      </c>
      <c r="S409" s="264">
        <v>2006</v>
      </c>
      <c r="T409" s="266" t="s">
        <v>163</v>
      </c>
      <c r="U409" s="267">
        <v>42653</v>
      </c>
      <c r="V409" s="269"/>
      <c r="W409" s="366">
        <f>COUNT(RawMaterials[[#This Row],[Lab Quantity 1]:[Lab Quantity 4]])</f>
        <v>0</v>
      </c>
      <c r="X4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09" s="367" t="e">
        <f>RawMaterials[[#This Row],[Lab Price 1]]/RawMaterials[[#This Row],[Lab Q Model Units 1]]</f>
        <v>#N/A</v>
      </c>
      <c r="AC409" s="367" t="e">
        <f>RawMaterials[[#This Row],[Lab Price 2]]/RawMaterials[[#This Row],[Lab Q Model Units 2]]</f>
        <v>#N/A</v>
      </c>
      <c r="AD409" s="367" t="e">
        <f>RawMaterials[[#This Row],[Lab Price 3]]/RawMaterials[[#This Row],[Lab Q Model Units 3]]</f>
        <v>#N/A</v>
      </c>
      <c r="AE409" s="367" t="e">
        <f>RawMaterials[[#This Row],[Lab Price 4]]/RawMaterials[[#This Row],[Lab Q Model Units 4]]</f>
        <v>#N/A</v>
      </c>
      <c r="AF409" s="367" t="str">
        <f ca="1">IF(RawMaterials[[#This Row],[Lab Quote Count]]&gt;1,SLOPE(LOG(INDIRECT("RawMaterials[@[Lab Unit P 1]:[Lab Unit P "&amp;RawMaterials[[#This Row],[Lab Quote Count]]&amp;"]]")),LOG(INDIRECT("RawMaterials[@[Lab Q Model Units 1]:[Lab Q Model Units "&amp;RawMaterials[[#This Row],[Lab Quote Count]]&amp;"]]"))),"")</f>
        <v/>
      </c>
      <c r="AG409" s="367" t="str">
        <f ca="1">IF(RawMaterials[[#This Row],[Lab Quote Count]]&gt;1,INTERCEPT(LOG(INDIRECT("RawMaterials[@[Lab Unit P 1]:[Lab Unit P "&amp;RawMaterials[[#This Row],[Lab Quote Count]]&amp;"]]")),LOG(INDIRECT("RawMaterials[@[Lab Q Model Units 1]:[Lab Q Model Units "&amp;RawMaterials[[#This Row],[Lab Quote Count]]&amp;"]]"))),"")</f>
        <v/>
      </c>
      <c r="AH409" s="368" t="str">
        <f>IF(RawMaterials[[#This Row],[Material Type]]="Metal Precursor","D13",IF(RawMaterials[[#This Row],[Material Type]]="Ligand","D13","D12"))</f>
        <v>D12</v>
      </c>
      <c r="AI409" s="369" t="str">
        <f ca="1">IF(RawMaterials[[#This Row],[Lab Quote Count]]&gt;1,10^RawMaterials[[#This Row],[Lab Log-Log Intercept]]*INDIRECT(RawMaterials[[#This Row],[Basis Cell]])^RawMaterials[[#This Row],[Lab Log-Log Slope]],"&gt;&gt;&gt; Enter 2 or more lab quotes &lt;&lt;&lt;")</f>
        <v>&gt;&gt;&gt; Enter 2 or more lab quotes &lt;&lt;&lt;</v>
      </c>
      <c r="AJ4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v>
      </c>
      <c r="AL409" s="372">
        <f>IF(ISTEXT(RawMaterials[[#This Row],[Unit price in quote year]]),"Check calcs",RawMaterials[[#This Row],[Unit price in quote year]]/VLOOKUP(RawMaterials[[#This Row],[Quote Year]],ChemPPI[],14,FALSE)*VLOOKUP(BasisYear,ChemPPI[],14,FALSE))</f>
        <v>1.357215447154472</v>
      </c>
      <c r="AM409" s="373" t="str">
        <f t="shared" si="6"/>
        <v>$/lb (2016)</v>
      </c>
    </row>
    <row r="410" spans="1:39">
      <c r="A410" s="263" t="s">
        <v>1508</v>
      </c>
      <c r="B410" s="264"/>
      <c r="C410" s="271"/>
      <c r="D410" s="365"/>
      <c r="E410" s="264">
        <v>100</v>
      </c>
      <c r="F410" s="264"/>
      <c r="G410" s="271"/>
      <c r="H410" s="271"/>
      <c r="I410" s="268"/>
      <c r="J410" s="271"/>
      <c r="K410" s="271"/>
      <c r="L410" s="271"/>
      <c r="M410" s="271"/>
      <c r="N410" s="271"/>
      <c r="O410" s="271"/>
      <c r="P410" s="265">
        <v>1.51</v>
      </c>
      <c r="Q410" s="264">
        <v>1</v>
      </c>
      <c r="R410" s="264" t="s">
        <v>20</v>
      </c>
      <c r="S410" s="264">
        <v>2006</v>
      </c>
      <c r="T410" s="266" t="s">
        <v>163</v>
      </c>
      <c r="U410" s="267">
        <v>42653</v>
      </c>
      <c r="V410" s="269"/>
      <c r="W410" s="366">
        <f>COUNT(RawMaterials[[#This Row],[Lab Quantity 1]:[Lab Quantity 4]])</f>
        <v>0</v>
      </c>
      <c r="X4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0" s="367" t="e">
        <f>RawMaterials[[#This Row],[Lab Price 1]]/RawMaterials[[#This Row],[Lab Q Model Units 1]]</f>
        <v>#N/A</v>
      </c>
      <c r="AC410" s="367" t="e">
        <f>RawMaterials[[#This Row],[Lab Price 2]]/RawMaterials[[#This Row],[Lab Q Model Units 2]]</f>
        <v>#N/A</v>
      </c>
      <c r="AD410" s="367" t="e">
        <f>RawMaterials[[#This Row],[Lab Price 3]]/RawMaterials[[#This Row],[Lab Q Model Units 3]]</f>
        <v>#N/A</v>
      </c>
      <c r="AE410" s="367" t="e">
        <f>RawMaterials[[#This Row],[Lab Price 4]]/RawMaterials[[#This Row],[Lab Q Model Units 4]]</f>
        <v>#N/A</v>
      </c>
      <c r="AF410" s="367" t="str">
        <f ca="1">IF(RawMaterials[[#This Row],[Lab Quote Count]]&gt;1,SLOPE(LOG(INDIRECT("RawMaterials[@[Lab Unit P 1]:[Lab Unit P "&amp;RawMaterials[[#This Row],[Lab Quote Count]]&amp;"]]")),LOG(INDIRECT("RawMaterials[@[Lab Q Model Units 1]:[Lab Q Model Units "&amp;RawMaterials[[#This Row],[Lab Quote Count]]&amp;"]]"))),"")</f>
        <v/>
      </c>
      <c r="AG410" s="367" t="str">
        <f ca="1">IF(RawMaterials[[#This Row],[Lab Quote Count]]&gt;1,INTERCEPT(LOG(INDIRECT("RawMaterials[@[Lab Unit P 1]:[Lab Unit P "&amp;RawMaterials[[#This Row],[Lab Quote Count]]&amp;"]]")),LOG(INDIRECT("RawMaterials[@[Lab Q Model Units 1]:[Lab Q Model Units "&amp;RawMaterials[[#This Row],[Lab Quote Count]]&amp;"]]"))),"")</f>
        <v/>
      </c>
      <c r="AH410" s="368" t="str">
        <f>IF(RawMaterials[[#This Row],[Material Type]]="Metal Precursor","D13",IF(RawMaterials[[#This Row],[Material Type]]="Ligand","D13","D12"))</f>
        <v>D12</v>
      </c>
      <c r="AI410" s="369" t="str">
        <f ca="1">IF(RawMaterials[[#This Row],[Lab Quote Count]]&gt;1,10^RawMaterials[[#This Row],[Lab Log-Log Intercept]]*INDIRECT(RawMaterials[[#This Row],[Basis Cell]])^RawMaterials[[#This Row],[Lab Log-Log Slope]],"&gt;&gt;&gt; Enter 2 or more lab quotes &lt;&lt;&lt;")</f>
        <v>&gt;&gt;&gt; Enter 2 or more lab quotes &lt;&lt;&lt;</v>
      </c>
      <c r="AJ4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1.51</v>
      </c>
      <c r="AL410" s="372">
        <f>IF(ISTEXT(RawMaterials[[#This Row],[Unit price in quote year]]),"Check calcs",RawMaterials[[#This Row],[Unit price in quote year]]/VLOOKUP(RawMaterials[[#This Row],[Quote Year]],ChemPPI[],14,FALSE)*VLOOKUP(BasisYear,ChemPPI[],14,FALSE))</f>
        <v>2.0493953252032524</v>
      </c>
      <c r="AM410" s="373" t="str">
        <f t="shared" si="6"/>
        <v>$/lb (2016)</v>
      </c>
    </row>
    <row r="411" spans="1:39">
      <c r="A411" s="263" t="s">
        <v>1509</v>
      </c>
      <c r="B411" s="264"/>
      <c r="C411" s="271"/>
      <c r="D411" s="365"/>
      <c r="E411" s="264">
        <v>100</v>
      </c>
      <c r="F411" s="264"/>
      <c r="G411" s="271"/>
      <c r="H411" s="271"/>
      <c r="I411" s="268"/>
      <c r="J411" s="271"/>
      <c r="K411" s="271"/>
      <c r="L411" s="271"/>
      <c r="M411" s="271"/>
      <c r="N411" s="271"/>
      <c r="O411" s="271"/>
      <c r="P411" s="265">
        <v>1.075</v>
      </c>
      <c r="Q411" s="264">
        <v>1</v>
      </c>
      <c r="R411" s="264" t="s">
        <v>20</v>
      </c>
      <c r="S411" s="264">
        <v>2008</v>
      </c>
      <c r="T411" s="266" t="s">
        <v>163</v>
      </c>
      <c r="U411" s="267">
        <v>42653</v>
      </c>
      <c r="V411" s="269"/>
      <c r="W411" s="366">
        <f>COUNT(RawMaterials[[#This Row],[Lab Quantity 1]:[Lab Quantity 4]])</f>
        <v>0</v>
      </c>
      <c r="X4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1" s="367" t="e">
        <f>RawMaterials[[#This Row],[Lab Price 1]]/RawMaterials[[#This Row],[Lab Q Model Units 1]]</f>
        <v>#N/A</v>
      </c>
      <c r="AC411" s="367" t="e">
        <f>RawMaterials[[#This Row],[Lab Price 2]]/RawMaterials[[#This Row],[Lab Q Model Units 2]]</f>
        <v>#N/A</v>
      </c>
      <c r="AD411" s="367" t="e">
        <f>RawMaterials[[#This Row],[Lab Price 3]]/RawMaterials[[#This Row],[Lab Q Model Units 3]]</f>
        <v>#N/A</v>
      </c>
      <c r="AE411" s="367" t="e">
        <f>RawMaterials[[#This Row],[Lab Price 4]]/RawMaterials[[#This Row],[Lab Q Model Units 4]]</f>
        <v>#N/A</v>
      </c>
      <c r="AF411" s="367" t="str">
        <f ca="1">IF(RawMaterials[[#This Row],[Lab Quote Count]]&gt;1,SLOPE(LOG(INDIRECT("RawMaterials[@[Lab Unit P 1]:[Lab Unit P "&amp;RawMaterials[[#This Row],[Lab Quote Count]]&amp;"]]")),LOG(INDIRECT("RawMaterials[@[Lab Q Model Units 1]:[Lab Q Model Units "&amp;RawMaterials[[#This Row],[Lab Quote Count]]&amp;"]]"))),"")</f>
        <v/>
      </c>
      <c r="AG411" s="367" t="str">
        <f ca="1">IF(RawMaterials[[#This Row],[Lab Quote Count]]&gt;1,INTERCEPT(LOG(INDIRECT("RawMaterials[@[Lab Unit P 1]:[Lab Unit P "&amp;RawMaterials[[#This Row],[Lab Quote Count]]&amp;"]]")),LOG(INDIRECT("RawMaterials[@[Lab Q Model Units 1]:[Lab Q Model Units "&amp;RawMaterials[[#This Row],[Lab Quote Count]]&amp;"]]"))),"")</f>
        <v/>
      </c>
      <c r="AH411" s="368" t="str">
        <f>IF(RawMaterials[[#This Row],[Material Type]]="Metal Precursor","D13",IF(RawMaterials[[#This Row],[Material Type]]="Ligand","D13","D12"))</f>
        <v>D12</v>
      </c>
      <c r="AI411" s="369" t="str">
        <f ca="1">IF(RawMaterials[[#This Row],[Lab Quote Count]]&gt;1,10^RawMaterials[[#This Row],[Lab Log-Log Intercept]]*INDIRECT(RawMaterials[[#This Row],[Basis Cell]])^RawMaterials[[#This Row],[Lab Log-Log Slope]],"&gt;&gt;&gt; Enter 2 or more lab quotes &lt;&lt;&lt;")</f>
        <v>&gt;&gt;&gt; Enter 2 or more lab quotes &lt;&lt;&lt;</v>
      </c>
      <c r="AJ4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1.075</v>
      </c>
      <c r="AL411" s="372">
        <f>IF(ISTEXT(RawMaterials[[#This Row],[Unit price in quote year]]),"Check calcs",RawMaterials[[#This Row],[Unit price in quote year]]/VLOOKUP(RawMaterials[[#This Row],[Quote Year]],ChemPPI[],14,FALSE)*VLOOKUP(BasisYear,ChemPPI[],14,FALSE))</f>
        <v>1.258203396019719</v>
      </c>
      <c r="AM411" s="373" t="str">
        <f t="shared" si="6"/>
        <v>$/lb (2016)</v>
      </c>
    </row>
    <row r="412" spans="1:39">
      <c r="A412" s="263" t="s">
        <v>1510</v>
      </c>
      <c r="B412" s="264"/>
      <c r="C412" s="271"/>
      <c r="D412" s="365"/>
      <c r="E412" s="264">
        <v>100</v>
      </c>
      <c r="F412" s="264"/>
      <c r="G412" s="271"/>
      <c r="H412" s="271"/>
      <c r="I412" s="268"/>
      <c r="J412" s="271"/>
      <c r="K412" s="271"/>
      <c r="L412" s="271"/>
      <c r="M412" s="271"/>
      <c r="N412" s="271"/>
      <c r="O412" s="271"/>
      <c r="P412" s="265">
        <v>0.72499999999999998</v>
      </c>
      <c r="Q412" s="264">
        <v>1</v>
      </c>
      <c r="R412" s="264" t="s">
        <v>20</v>
      </c>
      <c r="S412" s="264">
        <v>2008</v>
      </c>
      <c r="T412" s="266" t="s">
        <v>163</v>
      </c>
      <c r="U412" s="267">
        <v>42653</v>
      </c>
      <c r="V412" s="269"/>
      <c r="W412" s="366">
        <f>COUNT(RawMaterials[[#This Row],[Lab Quantity 1]:[Lab Quantity 4]])</f>
        <v>0</v>
      </c>
      <c r="X4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2" s="367" t="e">
        <f>RawMaterials[[#This Row],[Lab Price 1]]/RawMaterials[[#This Row],[Lab Q Model Units 1]]</f>
        <v>#N/A</v>
      </c>
      <c r="AC412" s="367" t="e">
        <f>RawMaterials[[#This Row],[Lab Price 2]]/RawMaterials[[#This Row],[Lab Q Model Units 2]]</f>
        <v>#N/A</v>
      </c>
      <c r="AD412" s="367" t="e">
        <f>RawMaterials[[#This Row],[Lab Price 3]]/RawMaterials[[#This Row],[Lab Q Model Units 3]]</f>
        <v>#N/A</v>
      </c>
      <c r="AE412" s="367" t="e">
        <f>RawMaterials[[#This Row],[Lab Price 4]]/RawMaterials[[#This Row],[Lab Q Model Units 4]]</f>
        <v>#N/A</v>
      </c>
      <c r="AF412" s="367" t="str">
        <f ca="1">IF(RawMaterials[[#This Row],[Lab Quote Count]]&gt;1,SLOPE(LOG(INDIRECT("RawMaterials[@[Lab Unit P 1]:[Lab Unit P "&amp;RawMaterials[[#This Row],[Lab Quote Count]]&amp;"]]")),LOG(INDIRECT("RawMaterials[@[Lab Q Model Units 1]:[Lab Q Model Units "&amp;RawMaterials[[#This Row],[Lab Quote Count]]&amp;"]]"))),"")</f>
        <v/>
      </c>
      <c r="AG412" s="367" t="str">
        <f ca="1">IF(RawMaterials[[#This Row],[Lab Quote Count]]&gt;1,INTERCEPT(LOG(INDIRECT("RawMaterials[@[Lab Unit P 1]:[Lab Unit P "&amp;RawMaterials[[#This Row],[Lab Quote Count]]&amp;"]]")),LOG(INDIRECT("RawMaterials[@[Lab Q Model Units 1]:[Lab Q Model Units "&amp;RawMaterials[[#This Row],[Lab Quote Count]]&amp;"]]"))),"")</f>
        <v/>
      </c>
      <c r="AH412" s="368" t="str">
        <f>IF(RawMaterials[[#This Row],[Material Type]]="Metal Precursor","D13",IF(RawMaterials[[#This Row],[Material Type]]="Ligand","D13","D12"))</f>
        <v>D12</v>
      </c>
      <c r="AI412" s="369" t="str">
        <f ca="1">IF(RawMaterials[[#This Row],[Lab Quote Count]]&gt;1,10^RawMaterials[[#This Row],[Lab Log-Log Intercept]]*INDIRECT(RawMaterials[[#This Row],[Basis Cell]])^RawMaterials[[#This Row],[Lab Log-Log Slope]],"&gt;&gt;&gt; Enter 2 or more lab quotes &lt;&lt;&lt;")</f>
        <v>&gt;&gt;&gt; Enter 2 or more lab quotes &lt;&lt;&lt;</v>
      </c>
      <c r="AJ4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2" s="372">
        <f>IF(ISTEXT(RawMaterials[[#This Row],[Unit price in quote year]]),"Check calcs",RawMaterials[[#This Row],[Unit price in quote year]]/VLOOKUP(RawMaterials[[#This Row],[Quote Year]],ChemPPI[],14,FALSE)*VLOOKUP(BasisYear,ChemPPI[],14,FALSE))</f>
        <v>0.84855577871097321</v>
      </c>
      <c r="AM412" s="373" t="str">
        <f t="shared" si="6"/>
        <v>$/lb (2016)</v>
      </c>
    </row>
    <row r="413" spans="1:39">
      <c r="A413" s="263" t="s">
        <v>1511</v>
      </c>
      <c r="B413" s="264"/>
      <c r="C413" s="271"/>
      <c r="D413" s="365"/>
      <c r="E413" s="264">
        <v>100</v>
      </c>
      <c r="F413" s="264"/>
      <c r="G413" s="271"/>
      <c r="H413" s="271"/>
      <c r="I413" s="268"/>
      <c r="J413" s="271"/>
      <c r="K413" s="271"/>
      <c r="L413" s="271"/>
      <c r="M413" s="271"/>
      <c r="N413" s="271"/>
      <c r="O413" s="271"/>
      <c r="P413" s="265">
        <v>0.72499999999999998</v>
      </c>
      <c r="Q413" s="264">
        <v>1</v>
      </c>
      <c r="R413" s="264" t="s">
        <v>20</v>
      </c>
      <c r="S413" s="264">
        <v>2008</v>
      </c>
      <c r="T413" s="266" t="s">
        <v>163</v>
      </c>
      <c r="U413" s="267">
        <v>42653</v>
      </c>
      <c r="V413" s="269"/>
      <c r="W413" s="366">
        <f>COUNT(RawMaterials[[#This Row],[Lab Quantity 1]:[Lab Quantity 4]])</f>
        <v>0</v>
      </c>
      <c r="X4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3" s="367" t="e">
        <f>RawMaterials[[#This Row],[Lab Price 1]]/RawMaterials[[#This Row],[Lab Q Model Units 1]]</f>
        <v>#N/A</v>
      </c>
      <c r="AC413" s="367" t="e">
        <f>RawMaterials[[#This Row],[Lab Price 2]]/RawMaterials[[#This Row],[Lab Q Model Units 2]]</f>
        <v>#N/A</v>
      </c>
      <c r="AD413" s="367" t="e">
        <f>RawMaterials[[#This Row],[Lab Price 3]]/RawMaterials[[#This Row],[Lab Q Model Units 3]]</f>
        <v>#N/A</v>
      </c>
      <c r="AE413" s="367" t="e">
        <f>RawMaterials[[#This Row],[Lab Price 4]]/RawMaterials[[#This Row],[Lab Q Model Units 4]]</f>
        <v>#N/A</v>
      </c>
      <c r="AF413" s="367" t="str">
        <f ca="1">IF(RawMaterials[[#This Row],[Lab Quote Count]]&gt;1,SLOPE(LOG(INDIRECT("RawMaterials[@[Lab Unit P 1]:[Lab Unit P "&amp;RawMaterials[[#This Row],[Lab Quote Count]]&amp;"]]")),LOG(INDIRECT("RawMaterials[@[Lab Q Model Units 1]:[Lab Q Model Units "&amp;RawMaterials[[#This Row],[Lab Quote Count]]&amp;"]]"))),"")</f>
        <v/>
      </c>
      <c r="AG413" s="367" t="str">
        <f ca="1">IF(RawMaterials[[#This Row],[Lab Quote Count]]&gt;1,INTERCEPT(LOG(INDIRECT("RawMaterials[@[Lab Unit P 1]:[Lab Unit P "&amp;RawMaterials[[#This Row],[Lab Quote Count]]&amp;"]]")),LOG(INDIRECT("RawMaterials[@[Lab Q Model Units 1]:[Lab Q Model Units "&amp;RawMaterials[[#This Row],[Lab Quote Count]]&amp;"]]"))),"")</f>
        <v/>
      </c>
      <c r="AH413" s="368" t="str">
        <f>IF(RawMaterials[[#This Row],[Material Type]]="Metal Precursor","D13",IF(RawMaterials[[#This Row],[Material Type]]="Ligand","D13","D12"))</f>
        <v>D12</v>
      </c>
      <c r="AI413" s="369" t="str">
        <f ca="1">IF(RawMaterials[[#This Row],[Lab Quote Count]]&gt;1,10^RawMaterials[[#This Row],[Lab Log-Log Intercept]]*INDIRECT(RawMaterials[[#This Row],[Basis Cell]])^RawMaterials[[#This Row],[Lab Log-Log Slope]],"&gt;&gt;&gt; Enter 2 or more lab quotes &lt;&lt;&lt;")</f>
        <v>&gt;&gt;&gt; Enter 2 or more lab quotes &lt;&lt;&lt;</v>
      </c>
      <c r="AJ4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13" s="372">
        <f>IF(ISTEXT(RawMaterials[[#This Row],[Unit price in quote year]]),"Check calcs",RawMaterials[[#This Row],[Unit price in quote year]]/VLOOKUP(RawMaterials[[#This Row],[Quote Year]],ChemPPI[],14,FALSE)*VLOOKUP(BasisYear,ChemPPI[],14,FALSE))</f>
        <v>0.84855577871097321</v>
      </c>
      <c r="AM413" s="373" t="str">
        <f t="shared" si="6"/>
        <v>$/lb (2016)</v>
      </c>
    </row>
    <row r="414" spans="1:39">
      <c r="A414" s="263" t="s">
        <v>1512</v>
      </c>
      <c r="B414" s="264"/>
      <c r="C414" s="271"/>
      <c r="D414" s="365"/>
      <c r="E414" s="264">
        <v>100</v>
      </c>
      <c r="F414" s="264"/>
      <c r="G414" s="271"/>
      <c r="H414" s="271"/>
      <c r="I414" s="268"/>
      <c r="J414" s="271"/>
      <c r="K414" s="271"/>
      <c r="L414" s="271"/>
      <c r="M414" s="271"/>
      <c r="N414" s="271"/>
      <c r="O414" s="271"/>
      <c r="P414" s="265">
        <v>0.77500000000000002</v>
      </c>
      <c r="Q414" s="264">
        <v>1</v>
      </c>
      <c r="R414" s="264" t="s">
        <v>20</v>
      </c>
      <c r="S414" s="264">
        <v>2008</v>
      </c>
      <c r="T414" s="266" t="s">
        <v>163</v>
      </c>
      <c r="U414" s="267">
        <v>42653</v>
      </c>
      <c r="V414" s="269"/>
      <c r="W414" s="366">
        <f>COUNT(RawMaterials[[#This Row],[Lab Quantity 1]:[Lab Quantity 4]])</f>
        <v>0</v>
      </c>
      <c r="X4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4" s="367" t="e">
        <f>RawMaterials[[#This Row],[Lab Price 1]]/RawMaterials[[#This Row],[Lab Q Model Units 1]]</f>
        <v>#N/A</v>
      </c>
      <c r="AC414" s="367" t="e">
        <f>RawMaterials[[#This Row],[Lab Price 2]]/RawMaterials[[#This Row],[Lab Q Model Units 2]]</f>
        <v>#N/A</v>
      </c>
      <c r="AD414" s="367" t="e">
        <f>RawMaterials[[#This Row],[Lab Price 3]]/RawMaterials[[#This Row],[Lab Q Model Units 3]]</f>
        <v>#N/A</v>
      </c>
      <c r="AE414" s="367" t="e">
        <f>RawMaterials[[#This Row],[Lab Price 4]]/RawMaterials[[#This Row],[Lab Q Model Units 4]]</f>
        <v>#N/A</v>
      </c>
      <c r="AF414" s="367" t="str">
        <f ca="1">IF(RawMaterials[[#This Row],[Lab Quote Count]]&gt;1,SLOPE(LOG(INDIRECT("RawMaterials[@[Lab Unit P 1]:[Lab Unit P "&amp;RawMaterials[[#This Row],[Lab Quote Count]]&amp;"]]")),LOG(INDIRECT("RawMaterials[@[Lab Q Model Units 1]:[Lab Q Model Units "&amp;RawMaterials[[#This Row],[Lab Quote Count]]&amp;"]]"))),"")</f>
        <v/>
      </c>
      <c r="AG414" s="367" t="str">
        <f ca="1">IF(RawMaterials[[#This Row],[Lab Quote Count]]&gt;1,INTERCEPT(LOG(INDIRECT("RawMaterials[@[Lab Unit P 1]:[Lab Unit P "&amp;RawMaterials[[#This Row],[Lab Quote Count]]&amp;"]]")),LOG(INDIRECT("RawMaterials[@[Lab Q Model Units 1]:[Lab Q Model Units "&amp;RawMaterials[[#This Row],[Lab Quote Count]]&amp;"]]"))),"")</f>
        <v/>
      </c>
      <c r="AH414" s="368" t="str">
        <f>IF(RawMaterials[[#This Row],[Material Type]]="Metal Precursor","D13",IF(RawMaterials[[#This Row],[Material Type]]="Ligand","D13","D12"))</f>
        <v>D12</v>
      </c>
      <c r="AI414" s="369" t="str">
        <f ca="1">IF(RawMaterials[[#This Row],[Lab Quote Count]]&gt;1,10^RawMaterials[[#This Row],[Lab Log-Log Intercept]]*INDIRECT(RawMaterials[[#This Row],[Basis Cell]])^RawMaterials[[#This Row],[Lab Log-Log Slope]],"&gt;&gt;&gt; Enter 2 or more lab quotes &lt;&lt;&lt;")</f>
        <v>&gt;&gt;&gt; Enter 2 or more lab quotes &lt;&lt;&lt;</v>
      </c>
      <c r="AJ4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414" s="372">
        <f>IF(ISTEXT(RawMaterials[[#This Row],[Unit price in quote year]]),"Check calcs",RawMaterials[[#This Row],[Unit price in quote year]]/VLOOKUP(RawMaterials[[#This Row],[Quote Year]],ChemPPI[],14,FALSE)*VLOOKUP(BasisYear,ChemPPI[],14,FALSE))</f>
        <v>0.90707686689793698</v>
      </c>
      <c r="AM414" s="373" t="str">
        <f t="shared" si="6"/>
        <v>$/lb (2016)</v>
      </c>
    </row>
    <row r="415" spans="1:39">
      <c r="A415" s="263" t="s">
        <v>1513</v>
      </c>
      <c r="B415" s="264"/>
      <c r="C415" s="271"/>
      <c r="D415" s="365"/>
      <c r="E415" s="264">
        <v>100</v>
      </c>
      <c r="F415" s="264"/>
      <c r="G415" s="271"/>
      <c r="H415" s="271"/>
      <c r="I415" s="268"/>
      <c r="J415" s="271"/>
      <c r="K415" s="271"/>
      <c r="L415" s="271"/>
      <c r="M415" s="271"/>
      <c r="N415" s="271"/>
      <c r="O415" s="271"/>
      <c r="P415" s="265">
        <v>0.78499999999999903</v>
      </c>
      <c r="Q415" s="264">
        <v>1</v>
      </c>
      <c r="R415" s="264" t="s">
        <v>20</v>
      </c>
      <c r="S415" s="264">
        <v>2008</v>
      </c>
      <c r="T415" s="266" t="s">
        <v>163</v>
      </c>
      <c r="U415" s="267">
        <v>42653</v>
      </c>
      <c r="V415" s="269"/>
      <c r="W415" s="366">
        <f>COUNT(RawMaterials[[#This Row],[Lab Quantity 1]:[Lab Quantity 4]])</f>
        <v>0</v>
      </c>
      <c r="X4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5" s="367" t="e">
        <f>RawMaterials[[#This Row],[Lab Price 1]]/RawMaterials[[#This Row],[Lab Q Model Units 1]]</f>
        <v>#N/A</v>
      </c>
      <c r="AC415" s="367" t="e">
        <f>RawMaterials[[#This Row],[Lab Price 2]]/RawMaterials[[#This Row],[Lab Q Model Units 2]]</f>
        <v>#N/A</v>
      </c>
      <c r="AD415" s="367" t="e">
        <f>RawMaterials[[#This Row],[Lab Price 3]]/RawMaterials[[#This Row],[Lab Q Model Units 3]]</f>
        <v>#N/A</v>
      </c>
      <c r="AE415" s="367" t="e">
        <f>RawMaterials[[#This Row],[Lab Price 4]]/RawMaterials[[#This Row],[Lab Q Model Units 4]]</f>
        <v>#N/A</v>
      </c>
      <c r="AF415" s="367" t="str">
        <f ca="1">IF(RawMaterials[[#This Row],[Lab Quote Count]]&gt;1,SLOPE(LOG(INDIRECT("RawMaterials[@[Lab Unit P 1]:[Lab Unit P "&amp;RawMaterials[[#This Row],[Lab Quote Count]]&amp;"]]")),LOG(INDIRECT("RawMaterials[@[Lab Q Model Units 1]:[Lab Q Model Units "&amp;RawMaterials[[#This Row],[Lab Quote Count]]&amp;"]]"))),"")</f>
        <v/>
      </c>
      <c r="AG415" s="367" t="str">
        <f ca="1">IF(RawMaterials[[#This Row],[Lab Quote Count]]&gt;1,INTERCEPT(LOG(INDIRECT("RawMaterials[@[Lab Unit P 1]:[Lab Unit P "&amp;RawMaterials[[#This Row],[Lab Quote Count]]&amp;"]]")),LOG(INDIRECT("RawMaterials[@[Lab Q Model Units 1]:[Lab Q Model Units "&amp;RawMaterials[[#This Row],[Lab Quote Count]]&amp;"]]"))),"")</f>
        <v/>
      </c>
      <c r="AH415" s="368" t="str">
        <f>IF(RawMaterials[[#This Row],[Material Type]]="Metal Precursor","D13",IF(RawMaterials[[#This Row],[Material Type]]="Ligand","D13","D12"))</f>
        <v>D12</v>
      </c>
      <c r="AI415" s="369" t="str">
        <f ca="1">IF(RawMaterials[[#This Row],[Lab Quote Count]]&gt;1,10^RawMaterials[[#This Row],[Lab Log-Log Intercept]]*INDIRECT(RawMaterials[[#This Row],[Basis Cell]])^RawMaterials[[#This Row],[Lab Log-Log Slope]],"&gt;&gt;&gt; Enter 2 or more lab quotes &lt;&lt;&lt;")</f>
        <v>&gt;&gt;&gt; Enter 2 or more lab quotes &lt;&lt;&lt;</v>
      </c>
      <c r="AJ4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0.78499999999999903</v>
      </c>
      <c r="AL415" s="372">
        <f>IF(ISTEXT(RawMaterials[[#This Row],[Unit price in quote year]]),"Check calcs",RawMaterials[[#This Row],[Unit price in quote year]]/VLOOKUP(RawMaterials[[#This Row],[Quote Year]],ChemPPI[],14,FALSE)*VLOOKUP(BasisYear,ChemPPI[],14,FALSE))</f>
        <v>0.91878108453532847</v>
      </c>
      <c r="AM415" s="373" t="str">
        <f t="shared" si="6"/>
        <v>$/lb (2016)</v>
      </c>
    </row>
    <row r="416" spans="1:39">
      <c r="A416" s="263" t="s">
        <v>1514</v>
      </c>
      <c r="B416" s="264"/>
      <c r="C416" s="271"/>
      <c r="D416" s="365"/>
      <c r="E416" s="264">
        <v>100</v>
      </c>
      <c r="F416" s="264"/>
      <c r="G416" s="271"/>
      <c r="H416" s="271"/>
      <c r="I416" s="268"/>
      <c r="J416" s="271"/>
      <c r="K416" s="271"/>
      <c r="L416" s="271"/>
      <c r="M416" s="271"/>
      <c r="N416" s="271"/>
      <c r="O416" s="271"/>
      <c r="P416" s="265">
        <v>0.72</v>
      </c>
      <c r="Q416" s="264">
        <v>1</v>
      </c>
      <c r="R416" s="264" t="s">
        <v>20</v>
      </c>
      <c r="S416" s="264">
        <v>2008</v>
      </c>
      <c r="T416" s="266" t="s">
        <v>163</v>
      </c>
      <c r="U416" s="267">
        <v>42653</v>
      </c>
      <c r="V416" s="269"/>
      <c r="W416" s="366">
        <f>COUNT(RawMaterials[[#This Row],[Lab Quantity 1]:[Lab Quantity 4]])</f>
        <v>0</v>
      </c>
      <c r="X4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6" s="367" t="e">
        <f>RawMaterials[[#This Row],[Lab Price 1]]/RawMaterials[[#This Row],[Lab Q Model Units 1]]</f>
        <v>#N/A</v>
      </c>
      <c r="AC416" s="367" t="e">
        <f>RawMaterials[[#This Row],[Lab Price 2]]/RawMaterials[[#This Row],[Lab Q Model Units 2]]</f>
        <v>#N/A</v>
      </c>
      <c r="AD416" s="367" t="e">
        <f>RawMaterials[[#This Row],[Lab Price 3]]/RawMaterials[[#This Row],[Lab Q Model Units 3]]</f>
        <v>#N/A</v>
      </c>
      <c r="AE416" s="367" t="e">
        <f>RawMaterials[[#This Row],[Lab Price 4]]/RawMaterials[[#This Row],[Lab Q Model Units 4]]</f>
        <v>#N/A</v>
      </c>
      <c r="AF416" s="367" t="str">
        <f ca="1">IF(RawMaterials[[#This Row],[Lab Quote Count]]&gt;1,SLOPE(LOG(INDIRECT("RawMaterials[@[Lab Unit P 1]:[Lab Unit P "&amp;RawMaterials[[#This Row],[Lab Quote Count]]&amp;"]]")),LOG(INDIRECT("RawMaterials[@[Lab Q Model Units 1]:[Lab Q Model Units "&amp;RawMaterials[[#This Row],[Lab Quote Count]]&amp;"]]"))),"")</f>
        <v/>
      </c>
      <c r="AG416" s="367" t="str">
        <f ca="1">IF(RawMaterials[[#This Row],[Lab Quote Count]]&gt;1,INTERCEPT(LOG(INDIRECT("RawMaterials[@[Lab Unit P 1]:[Lab Unit P "&amp;RawMaterials[[#This Row],[Lab Quote Count]]&amp;"]]")),LOG(INDIRECT("RawMaterials[@[Lab Q Model Units 1]:[Lab Q Model Units "&amp;RawMaterials[[#This Row],[Lab Quote Count]]&amp;"]]"))),"")</f>
        <v/>
      </c>
      <c r="AH416" s="368" t="str">
        <f>IF(RawMaterials[[#This Row],[Material Type]]="Metal Precursor","D13",IF(RawMaterials[[#This Row],[Material Type]]="Ligand","D13","D12"))</f>
        <v>D12</v>
      </c>
      <c r="AI416" s="369" t="str">
        <f ca="1">IF(RawMaterials[[#This Row],[Lab Quote Count]]&gt;1,10^RawMaterials[[#This Row],[Lab Log-Log Intercept]]*INDIRECT(RawMaterials[[#This Row],[Basis Cell]])^RawMaterials[[#This Row],[Lab Log-Log Slope]],"&gt;&gt;&gt; Enter 2 or more lab quotes &lt;&lt;&lt;")</f>
        <v>&gt;&gt;&gt; Enter 2 or more lab quotes &lt;&lt;&lt;</v>
      </c>
      <c r="AJ4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16" s="372">
        <f>IF(ISTEXT(RawMaterials[[#This Row],[Unit price in quote year]]),"Check calcs",RawMaterials[[#This Row],[Unit price in quote year]]/VLOOKUP(RawMaterials[[#This Row],[Quote Year]],ChemPPI[],14,FALSE)*VLOOKUP(BasisYear,ChemPPI[],14,FALSE))</f>
        <v>0.84270366989227674</v>
      </c>
      <c r="AM416" s="373" t="str">
        <f t="shared" si="6"/>
        <v>$/lb (2016)</v>
      </c>
    </row>
    <row r="417" spans="1:39">
      <c r="A417" s="263" t="s">
        <v>1515</v>
      </c>
      <c r="B417" s="264"/>
      <c r="C417" s="271"/>
      <c r="D417" s="365"/>
      <c r="E417" s="264">
        <v>100</v>
      </c>
      <c r="F417" s="264"/>
      <c r="G417" s="271"/>
      <c r="H417" s="271"/>
      <c r="I417" s="268"/>
      <c r="J417" s="271"/>
      <c r="K417" s="271"/>
      <c r="L417" s="271"/>
      <c r="M417" s="271"/>
      <c r="N417" s="271"/>
      <c r="O417" s="271"/>
      <c r="P417" s="265">
        <v>0.80499999999999905</v>
      </c>
      <c r="Q417" s="264">
        <v>1</v>
      </c>
      <c r="R417" s="264" t="s">
        <v>20</v>
      </c>
      <c r="S417" s="264">
        <v>2008</v>
      </c>
      <c r="T417" s="266" t="s">
        <v>163</v>
      </c>
      <c r="U417" s="267">
        <v>42653</v>
      </c>
      <c r="V417" s="269"/>
      <c r="W417" s="366">
        <f>COUNT(RawMaterials[[#This Row],[Lab Quantity 1]:[Lab Quantity 4]])</f>
        <v>0</v>
      </c>
      <c r="X4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7" s="367" t="e">
        <f>RawMaterials[[#This Row],[Lab Price 1]]/RawMaterials[[#This Row],[Lab Q Model Units 1]]</f>
        <v>#N/A</v>
      </c>
      <c r="AC417" s="367" t="e">
        <f>RawMaterials[[#This Row],[Lab Price 2]]/RawMaterials[[#This Row],[Lab Q Model Units 2]]</f>
        <v>#N/A</v>
      </c>
      <c r="AD417" s="367" t="e">
        <f>RawMaterials[[#This Row],[Lab Price 3]]/RawMaterials[[#This Row],[Lab Q Model Units 3]]</f>
        <v>#N/A</v>
      </c>
      <c r="AE417" s="367" t="e">
        <f>RawMaterials[[#This Row],[Lab Price 4]]/RawMaterials[[#This Row],[Lab Q Model Units 4]]</f>
        <v>#N/A</v>
      </c>
      <c r="AF417" s="367" t="str">
        <f ca="1">IF(RawMaterials[[#This Row],[Lab Quote Count]]&gt;1,SLOPE(LOG(INDIRECT("RawMaterials[@[Lab Unit P 1]:[Lab Unit P "&amp;RawMaterials[[#This Row],[Lab Quote Count]]&amp;"]]")),LOG(INDIRECT("RawMaterials[@[Lab Q Model Units 1]:[Lab Q Model Units "&amp;RawMaterials[[#This Row],[Lab Quote Count]]&amp;"]]"))),"")</f>
        <v/>
      </c>
      <c r="AG417" s="367" t="str">
        <f ca="1">IF(RawMaterials[[#This Row],[Lab Quote Count]]&gt;1,INTERCEPT(LOG(INDIRECT("RawMaterials[@[Lab Unit P 1]:[Lab Unit P "&amp;RawMaterials[[#This Row],[Lab Quote Count]]&amp;"]]")),LOG(INDIRECT("RawMaterials[@[Lab Q Model Units 1]:[Lab Q Model Units "&amp;RawMaterials[[#This Row],[Lab Quote Count]]&amp;"]]"))),"")</f>
        <v/>
      </c>
      <c r="AH417" s="368" t="str">
        <f>IF(RawMaterials[[#This Row],[Material Type]]="Metal Precursor","D13",IF(RawMaterials[[#This Row],[Material Type]]="Ligand","D13","D12"))</f>
        <v>D12</v>
      </c>
      <c r="AI417" s="369" t="str">
        <f ca="1">IF(RawMaterials[[#This Row],[Lab Quote Count]]&gt;1,10^RawMaterials[[#This Row],[Lab Log-Log Intercept]]*INDIRECT(RawMaterials[[#This Row],[Basis Cell]])^RawMaterials[[#This Row],[Lab Log-Log Slope]],"&gt;&gt;&gt; Enter 2 or more lab quotes &lt;&lt;&lt;")</f>
        <v>&gt;&gt;&gt; Enter 2 or more lab quotes &lt;&lt;&lt;</v>
      </c>
      <c r="AJ4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7" s="372">
        <f>IF(ISTEXT(RawMaterials[[#This Row],[Unit price in quote year]]),"Check calcs",RawMaterials[[#This Row],[Unit price in quote year]]/VLOOKUP(RawMaterials[[#This Row],[Quote Year]],ChemPPI[],14,FALSE)*VLOOKUP(BasisYear,ChemPPI[],14,FALSE))</f>
        <v>0.94218951981011401</v>
      </c>
      <c r="AM417" s="373" t="str">
        <f t="shared" si="6"/>
        <v>$/lb (2016)</v>
      </c>
    </row>
    <row r="418" spans="1:39">
      <c r="A418" s="263" t="s">
        <v>1516</v>
      </c>
      <c r="B418" s="264"/>
      <c r="C418" s="271"/>
      <c r="D418" s="365"/>
      <c r="E418" s="264">
        <v>100</v>
      </c>
      <c r="F418" s="264"/>
      <c r="G418" s="271"/>
      <c r="H418" s="271"/>
      <c r="I418" s="268"/>
      <c r="J418" s="271"/>
      <c r="K418" s="271"/>
      <c r="L418" s="271"/>
      <c r="M418" s="271"/>
      <c r="N418" s="271"/>
      <c r="O418" s="271"/>
      <c r="P418" s="265">
        <v>0.86499999999999999</v>
      </c>
      <c r="Q418" s="264">
        <v>1</v>
      </c>
      <c r="R418" s="264" t="s">
        <v>20</v>
      </c>
      <c r="S418" s="264">
        <v>2008</v>
      </c>
      <c r="T418" s="266" t="s">
        <v>163</v>
      </c>
      <c r="U418" s="267">
        <v>42653</v>
      </c>
      <c r="V418" s="269"/>
      <c r="W418" s="366">
        <f>COUNT(RawMaterials[[#This Row],[Lab Quantity 1]:[Lab Quantity 4]])</f>
        <v>0</v>
      </c>
      <c r="X4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8" s="367" t="e">
        <f>RawMaterials[[#This Row],[Lab Price 1]]/RawMaterials[[#This Row],[Lab Q Model Units 1]]</f>
        <v>#N/A</v>
      </c>
      <c r="AC418" s="367" t="e">
        <f>RawMaterials[[#This Row],[Lab Price 2]]/RawMaterials[[#This Row],[Lab Q Model Units 2]]</f>
        <v>#N/A</v>
      </c>
      <c r="AD418" s="367" t="e">
        <f>RawMaterials[[#This Row],[Lab Price 3]]/RawMaterials[[#This Row],[Lab Q Model Units 3]]</f>
        <v>#N/A</v>
      </c>
      <c r="AE418" s="367" t="e">
        <f>RawMaterials[[#This Row],[Lab Price 4]]/RawMaterials[[#This Row],[Lab Q Model Units 4]]</f>
        <v>#N/A</v>
      </c>
      <c r="AF418" s="367" t="str">
        <f ca="1">IF(RawMaterials[[#This Row],[Lab Quote Count]]&gt;1,SLOPE(LOG(INDIRECT("RawMaterials[@[Lab Unit P 1]:[Lab Unit P "&amp;RawMaterials[[#This Row],[Lab Quote Count]]&amp;"]]")),LOG(INDIRECT("RawMaterials[@[Lab Q Model Units 1]:[Lab Q Model Units "&amp;RawMaterials[[#This Row],[Lab Quote Count]]&amp;"]]"))),"")</f>
        <v/>
      </c>
      <c r="AG418" s="367" t="str">
        <f ca="1">IF(RawMaterials[[#This Row],[Lab Quote Count]]&gt;1,INTERCEPT(LOG(INDIRECT("RawMaterials[@[Lab Unit P 1]:[Lab Unit P "&amp;RawMaterials[[#This Row],[Lab Quote Count]]&amp;"]]")),LOG(INDIRECT("RawMaterials[@[Lab Q Model Units 1]:[Lab Q Model Units "&amp;RawMaterials[[#This Row],[Lab Quote Count]]&amp;"]]"))),"")</f>
        <v/>
      </c>
      <c r="AH418" s="368" t="str">
        <f>IF(RawMaterials[[#This Row],[Material Type]]="Metal Precursor","D13",IF(RawMaterials[[#This Row],[Material Type]]="Ligand","D13","D12"))</f>
        <v>D12</v>
      </c>
      <c r="AI418" s="369" t="str">
        <f ca="1">IF(RawMaterials[[#This Row],[Lab Quote Count]]&gt;1,10^RawMaterials[[#This Row],[Lab Log-Log Intercept]]*INDIRECT(RawMaterials[[#This Row],[Basis Cell]])^RawMaterials[[#This Row],[Lab Log-Log Slope]],"&gt;&gt;&gt; Enter 2 or more lab quotes &lt;&lt;&lt;")</f>
        <v>&gt;&gt;&gt; Enter 2 or more lab quotes &lt;&lt;&lt;</v>
      </c>
      <c r="AJ4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0.86499999999999999</v>
      </c>
      <c r="AL418" s="372">
        <f>IF(ISTEXT(RawMaterials[[#This Row],[Unit price in quote year]]),"Check calcs",RawMaterials[[#This Row],[Unit price in quote year]]/VLOOKUP(RawMaterials[[#This Row],[Quote Year]],ChemPPI[],14,FALSE)*VLOOKUP(BasisYear,ChemPPI[],14,FALSE))</f>
        <v>1.0124148256344714</v>
      </c>
      <c r="AM418" s="373" t="str">
        <f t="shared" si="6"/>
        <v>$/lb (2016)</v>
      </c>
    </row>
    <row r="419" spans="1:39">
      <c r="A419" s="263" t="s">
        <v>1517</v>
      </c>
      <c r="B419" s="264"/>
      <c r="C419" s="271"/>
      <c r="D419" s="365"/>
      <c r="E419" s="264">
        <v>100</v>
      </c>
      <c r="F419" s="264"/>
      <c r="G419" s="271"/>
      <c r="H419" s="271"/>
      <c r="I419" s="268"/>
      <c r="J419" s="271"/>
      <c r="K419" s="271"/>
      <c r="L419" s="271"/>
      <c r="M419" s="271"/>
      <c r="N419" s="271"/>
      <c r="O419" s="271"/>
      <c r="P419" s="265">
        <v>0.80499999999999905</v>
      </c>
      <c r="Q419" s="264">
        <v>1</v>
      </c>
      <c r="R419" s="264" t="s">
        <v>20</v>
      </c>
      <c r="S419" s="264">
        <v>2008</v>
      </c>
      <c r="T419" s="266" t="s">
        <v>163</v>
      </c>
      <c r="U419" s="267">
        <v>42653</v>
      </c>
      <c r="V419" s="269"/>
      <c r="W419" s="366">
        <f>COUNT(RawMaterials[[#This Row],[Lab Quantity 1]:[Lab Quantity 4]])</f>
        <v>0</v>
      </c>
      <c r="X4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19" s="367" t="e">
        <f>RawMaterials[[#This Row],[Lab Price 1]]/RawMaterials[[#This Row],[Lab Q Model Units 1]]</f>
        <v>#N/A</v>
      </c>
      <c r="AC419" s="367" t="e">
        <f>RawMaterials[[#This Row],[Lab Price 2]]/RawMaterials[[#This Row],[Lab Q Model Units 2]]</f>
        <v>#N/A</v>
      </c>
      <c r="AD419" s="367" t="e">
        <f>RawMaterials[[#This Row],[Lab Price 3]]/RawMaterials[[#This Row],[Lab Q Model Units 3]]</f>
        <v>#N/A</v>
      </c>
      <c r="AE419" s="367" t="e">
        <f>RawMaterials[[#This Row],[Lab Price 4]]/RawMaterials[[#This Row],[Lab Q Model Units 4]]</f>
        <v>#N/A</v>
      </c>
      <c r="AF419" s="367" t="str">
        <f ca="1">IF(RawMaterials[[#This Row],[Lab Quote Count]]&gt;1,SLOPE(LOG(INDIRECT("RawMaterials[@[Lab Unit P 1]:[Lab Unit P "&amp;RawMaterials[[#This Row],[Lab Quote Count]]&amp;"]]")),LOG(INDIRECT("RawMaterials[@[Lab Q Model Units 1]:[Lab Q Model Units "&amp;RawMaterials[[#This Row],[Lab Quote Count]]&amp;"]]"))),"")</f>
        <v/>
      </c>
      <c r="AG419" s="367" t="str">
        <f ca="1">IF(RawMaterials[[#This Row],[Lab Quote Count]]&gt;1,INTERCEPT(LOG(INDIRECT("RawMaterials[@[Lab Unit P 1]:[Lab Unit P "&amp;RawMaterials[[#This Row],[Lab Quote Count]]&amp;"]]")),LOG(INDIRECT("RawMaterials[@[Lab Q Model Units 1]:[Lab Q Model Units "&amp;RawMaterials[[#This Row],[Lab Quote Count]]&amp;"]]"))),"")</f>
        <v/>
      </c>
      <c r="AH419" s="368" t="str">
        <f>IF(RawMaterials[[#This Row],[Material Type]]="Metal Precursor","D13",IF(RawMaterials[[#This Row],[Material Type]]="Ligand","D13","D12"))</f>
        <v>D12</v>
      </c>
      <c r="AI419" s="369" t="str">
        <f ca="1">IF(RawMaterials[[#This Row],[Lab Quote Count]]&gt;1,10^RawMaterials[[#This Row],[Lab Log-Log Intercept]]*INDIRECT(RawMaterials[[#This Row],[Basis Cell]])^RawMaterials[[#This Row],[Lab Log-Log Slope]],"&gt;&gt;&gt; Enter 2 or more lab quotes &lt;&lt;&lt;")</f>
        <v>&gt;&gt;&gt; Enter 2 or more lab quotes &lt;&lt;&lt;</v>
      </c>
      <c r="AJ4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0.80499999999999905</v>
      </c>
      <c r="AL419" s="372">
        <f>IF(ISTEXT(RawMaterials[[#This Row],[Unit price in quote year]]),"Check calcs",RawMaterials[[#This Row],[Unit price in quote year]]/VLOOKUP(RawMaterials[[#This Row],[Quote Year]],ChemPPI[],14,FALSE)*VLOOKUP(BasisYear,ChemPPI[],14,FALSE))</f>
        <v>0.94218951981011401</v>
      </c>
      <c r="AM419" s="373" t="str">
        <f t="shared" si="6"/>
        <v>$/lb (2016)</v>
      </c>
    </row>
    <row r="420" spans="1:39">
      <c r="A420" s="263" t="s">
        <v>1518</v>
      </c>
      <c r="B420" s="264"/>
      <c r="C420" s="271"/>
      <c r="D420" s="365"/>
      <c r="E420" s="264">
        <v>100</v>
      </c>
      <c r="F420" s="264"/>
      <c r="G420" s="271"/>
      <c r="H420" s="271"/>
      <c r="I420" s="268"/>
      <c r="J420" s="271"/>
      <c r="K420" s="271"/>
      <c r="L420" s="271"/>
      <c r="M420" s="271"/>
      <c r="N420" s="271"/>
      <c r="O420" s="271"/>
      <c r="P420" s="265">
        <v>0.88500000000000001</v>
      </c>
      <c r="Q420" s="264">
        <v>1</v>
      </c>
      <c r="R420" s="264" t="s">
        <v>20</v>
      </c>
      <c r="S420" s="264">
        <v>2008</v>
      </c>
      <c r="T420" s="266" t="s">
        <v>163</v>
      </c>
      <c r="U420" s="267">
        <v>42653</v>
      </c>
      <c r="V420" s="269"/>
      <c r="W420" s="366">
        <f>COUNT(RawMaterials[[#This Row],[Lab Quantity 1]:[Lab Quantity 4]])</f>
        <v>0</v>
      </c>
      <c r="X4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0" s="367" t="e">
        <f>RawMaterials[[#This Row],[Lab Price 1]]/RawMaterials[[#This Row],[Lab Q Model Units 1]]</f>
        <v>#N/A</v>
      </c>
      <c r="AC420" s="367" t="e">
        <f>RawMaterials[[#This Row],[Lab Price 2]]/RawMaterials[[#This Row],[Lab Q Model Units 2]]</f>
        <v>#N/A</v>
      </c>
      <c r="AD420" s="367" t="e">
        <f>RawMaterials[[#This Row],[Lab Price 3]]/RawMaterials[[#This Row],[Lab Q Model Units 3]]</f>
        <v>#N/A</v>
      </c>
      <c r="AE420" s="367" t="e">
        <f>RawMaterials[[#This Row],[Lab Price 4]]/RawMaterials[[#This Row],[Lab Q Model Units 4]]</f>
        <v>#N/A</v>
      </c>
      <c r="AF420" s="367" t="str">
        <f ca="1">IF(RawMaterials[[#This Row],[Lab Quote Count]]&gt;1,SLOPE(LOG(INDIRECT("RawMaterials[@[Lab Unit P 1]:[Lab Unit P "&amp;RawMaterials[[#This Row],[Lab Quote Count]]&amp;"]]")),LOG(INDIRECT("RawMaterials[@[Lab Q Model Units 1]:[Lab Q Model Units "&amp;RawMaterials[[#This Row],[Lab Quote Count]]&amp;"]]"))),"")</f>
        <v/>
      </c>
      <c r="AG420" s="367" t="str">
        <f ca="1">IF(RawMaterials[[#This Row],[Lab Quote Count]]&gt;1,INTERCEPT(LOG(INDIRECT("RawMaterials[@[Lab Unit P 1]:[Lab Unit P "&amp;RawMaterials[[#This Row],[Lab Quote Count]]&amp;"]]")),LOG(INDIRECT("RawMaterials[@[Lab Q Model Units 1]:[Lab Q Model Units "&amp;RawMaterials[[#This Row],[Lab Quote Count]]&amp;"]]"))),"")</f>
        <v/>
      </c>
      <c r="AH420" s="368" t="str">
        <f>IF(RawMaterials[[#This Row],[Material Type]]="Metal Precursor","D13",IF(RawMaterials[[#This Row],[Material Type]]="Ligand","D13","D12"))</f>
        <v>D12</v>
      </c>
      <c r="AI420" s="369" t="str">
        <f ca="1">IF(RawMaterials[[#This Row],[Lab Quote Count]]&gt;1,10^RawMaterials[[#This Row],[Lab Log-Log Intercept]]*INDIRECT(RawMaterials[[#This Row],[Basis Cell]])^RawMaterials[[#This Row],[Lab Log-Log Slope]],"&gt;&gt;&gt; Enter 2 or more lab quotes &lt;&lt;&lt;")</f>
        <v>&gt;&gt;&gt; Enter 2 or more lab quotes &lt;&lt;&lt;</v>
      </c>
      <c r="AJ4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0.88500000000000001</v>
      </c>
      <c r="AL420" s="372">
        <f>IF(ISTEXT(RawMaterials[[#This Row],[Unit price in quote year]]),"Check calcs",RawMaterials[[#This Row],[Unit price in quote year]]/VLOOKUP(RawMaterials[[#This Row],[Quote Year]],ChemPPI[],14,FALSE)*VLOOKUP(BasisYear,ChemPPI[],14,FALSE))</f>
        <v>1.0358232609092568</v>
      </c>
      <c r="AM420" s="373" t="str">
        <f t="shared" si="6"/>
        <v>$/lb (2016)</v>
      </c>
    </row>
    <row r="421" spans="1:39">
      <c r="A421" s="263" t="s">
        <v>1519</v>
      </c>
      <c r="B421" s="264"/>
      <c r="C421" s="271"/>
      <c r="D421" s="365"/>
      <c r="E421" s="264">
        <v>100</v>
      </c>
      <c r="F421" s="264"/>
      <c r="G421" s="271"/>
      <c r="H421" s="271"/>
      <c r="I421" s="268"/>
      <c r="J421" s="271"/>
      <c r="K421" s="271"/>
      <c r="L421" s="271"/>
      <c r="M421" s="271"/>
      <c r="N421" s="271"/>
      <c r="O421" s="271"/>
      <c r="P421" s="265">
        <v>0.875</v>
      </c>
      <c r="Q421" s="264">
        <v>1</v>
      </c>
      <c r="R421" s="264" t="s">
        <v>20</v>
      </c>
      <c r="S421" s="264">
        <v>2008</v>
      </c>
      <c r="T421" s="266" t="s">
        <v>163</v>
      </c>
      <c r="U421" s="267">
        <v>42653</v>
      </c>
      <c r="V421" s="269"/>
      <c r="W421" s="366">
        <f>COUNT(RawMaterials[[#This Row],[Lab Quantity 1]:[Lab Quantity 4]])</f>
        <v>0</v>
      </c>
      <c r="X4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1" s="367" t="e">
        <f>RawMaterials[[#This Row],[Lab Price 1]]/RawMaterials[[#This Row],[Lab Q Model Units 1]]</f>
        <v>#N/A</v>
      </c>
      <c r="AC421" s="367" t="e">
        <f>RawMaterials[[#This Row],[Lab Price 2]]/RawMaterials[[#This Row],[Lab Q Model Units 2]]</f>
        <v>#N/A</v>
      </c>
      <c r="AD421" s="367" t="e">
        <f>RawMaterials[[#This Row],[Lab Price 3]]/RawMaterials[[#This Row],[Lab Q Model Units 3]]</f>
        <v>#N/A</v>
      </c>
      <c r="AE421" s="367" t="e">
        <f>RawMaterials[[#This Row],[Lab Price 4]]/RawMaterials[[#This Row],[Lab Q Model Units 4]]</f>
        <v>#N/A</v>
      </c>
      <c r="AF421" s="367" t="str">
        <f ca="1">IF(RawMaterials[[#This Row],[Lab Quote Count]]&gt;1,SLOPE(LOG(INDIRECT("RawMaterials[@[Lab Unit P 1]:[Lab Unit P "&amp;RawMaterials[[#This Row],[Lab Quote Count]]&amp;"]]")),LOG(INDIRECT("RawMaterials[@[Lab Q Model Units 1]:[Lab Q Model Units "&amp;RawMaterials[[#This Row],[Lab Quote Count]]&amp;"]]"))),"")</f>
        <v/>
      </c>
      <c r="AG421" s="367" t="str">
        <f ca="1">IF(RawMaterials[[#This Row],[Lab Quote Count]]&gt;1,INTERCEPT(LOG(INDIRECT("RawMaterials[@[Lab Unit P 1]:[Lab Unit P "&amp;RawMaterials[[#This Row],[Lab Quote Count]]&amp;"]]")),LOG(INDIRECT("RawMaterials[@[Lab Q Model Units 1]:[Lab Q Model Units "&amp;RawMaterials[[#This Row],[Lab Quote Count]]&amp;"]]"))),"")</f>
        <v/>
      </c>
      <c r="AH421" s="368" t="str">
        <f>IF(RawMaterials[[#This Row],[Material Type]]="Metal Precursor","D13",IF(RawMaterials[[#This Row],[Material Type]]="Ligand","D13","D12"))</f>
        <v>D12</v>
      </c>
      <c r="AI421" s="369" t="str">
        <f ca="1">IF(RawMaterials[[#This Row],[Lab Quote Count]]&gt;1,10^RawMaterials[[#This Row],[Lab Log-Log Intercept]]*INDIRECT(RawMaterials[[#This Row],[Basis Cell]])^RawMaterials[[#This Row],[Lab Log-Log Slope]],"&gt;&gt;&gt; Enter 2 or more lab quotes &lt;&lt;&lt;")</f>
        <v>&gt;&gt;&gt; Enter 2 or more lab quotes &lt;&lt;&lt;</v>
      </c>
      <c r="AJ4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1" s="372">
        <f>IF(ISTEXT(RawMaterials[[#This Row],[Unit price in quote year]]),"Check calcs",RawMaterials[[#This Row],[Unit price in quote year]]/VLOOKUP(RawMaterials[[#This Row],[Quote Year]],ChemPPI[],14,FALSE)*VLOOKUP(BasisYear,ChemPPI[],14,FALSE))</f>
        <v>1.0241190432718643</v>
      </c>
      <c r="AM421" s="373" t="str">
        <f t="shared" si="6"/>
        <v>$/lb (2016)</v>
      </c>
    </row>
    <row r="422" spans="1:39">
      <c r="A422" s="263" t="s">
        <v>1520</v>
      </c>
      <c r="B422" s="264"/>
      <c r="C422" s="271"/>
      <c r="D422" s="365"/>
      <c r="E422" s="264">
        <v>100</v>
      </c>
      <c r="F422" s="264"/>
      <c r="G422" s="271"/>
      <c r="H422" s="271"/>
      <c r="I422" s="268"/>
      <c r="J422" s="271"/>
      <c r="K422" s="271"/>
      <c r="L422" s="271"/>
      <c r="M422" s="271"/>
      <c r="N422" s="271"/>
      <c r="O422" s="271"/>
      <c r="P422" s="265">
        <v>0.875</v>
      </c>
      <c r="Q422" s="264">
        <v>1</v>
      </c>
      <c r="R422" s="264" t="s">
        <v>20</v>
      </c>
      <c r="S422" s="264">
        <v>2008</v>
      </c>
      <c r="T422" s="266" t="s">
        <v>163</v>
      </c>
      <c r="U422" s="267">
        <v>42653</v>
      </c>
      <c r="V422" s="269"/>
      <c r="W422" s="366">
        <f>COUNT(RawMaterials[[#This Row],[Lab Quantity 1]:[Lab Quantity 4]])</f>
        <v>0</v>
      </c>
      <c r="X4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2" s="367" t="e">
        <f>RawMaterials[[#This Row],[Lab Price 1]]/RawMaterials[[#This Row],[Lab Q Model Units 1]]</f>
        <v>#N/A</v>
      </c>
      <c r="AC422" s="367" t="e">
        <f>RawMaterials[[#This Row],[Lab Price 2]]/RawMaterials[[#This Row],[Lab Q Model Units 2]]</f>
        <v>#N/A</v>
      </c>
      <c r="AD422" s="367" t="e">
        <f>RawMaterials[[#This Row],[Lab Price 3]]/RawMaterials[[#This Row],[Lab Q Model Units 3]]</f>
        <v>#N/A</v>
      </c>
      <c r="AE422" s="367" t="e">
        <f>RawMaterials[[#This Row],[Lab Price 4]]/RawMaterials[[#This Row],[Lab Q Model Units 4]]</f>
        <v>#N/A</v>
      </c>
      <c r="AF422" s="367" t="str">
        <f ca="1">IF(RawMaterials[[#This Row],[Lab Quote Count]]&gt;1,SLOPE(LOG(INDIRECT("RawMaterials[@[Lab Unit P 1]:[Lab Unit P "&amp;RawMaterials[[#This Row],[Lab Quote Count]]&amp;"]]")),LOG(INDIRECT("RawMaterials[@[Lab Q Model Units 1]:[Lab Q Model Units "&amp;RawMaterials[[#This Row],[Lab Quote Count]]&amp;"]]"))),"")</f>
        <v/>
      </c>
      <c r="AG422" s="367" t="str">
        <f ca="1">IF(RawMaterials[[#This Row],[Lab Quote Count]]&gt;1,INTERCEPT(LOG(INDIRECT("RawMaterials[@[Lab Unit P 1]:[Lab Unit P "&amp;RawMaterials[[#This Row],[Lab Quote Count]]&amp;"]]")),LOG(INDIRECT("RawMaterials[@[Lab Q Model Units 1]:[Lab Q Model Units "&amp;RawMaterials[[#This Row],[Lab Quote Count]]&amp;"]]"))),"")</f>
        <v/>
      </c>
      <c r="AH422" s="368" t="str">
        <f>IF(RawMaterials[[#This Row],[Material Type]]="Metal Precursor","D13",IF(RawMaterials[[#This Row],[Material Type]]="Ligand","D13","D12"))</f>
        <v>D12</v>
      </c>
      <c r="AI422" s="369" t="str">
        <f ca="1">IF(RawMaterials[[#This Row],[Lab Quote Count]]&gt;1,10^RawMaterials[[#This Row],[Lab Log-Log Intercept]]*INDIRECT(RawMaterials[[#This Row],[Basis Cell]])^RawMaterials[[#This Row],[Lab Log-Log Slope]],"&gt;&gt;&gt; Enter 2 or more lab quotes &lt;&lt;&lt;")</f>
        <v>&gt;&gt;&gt; Enter 2 or more lab quotes &lt;&lt;&lt;</v>
      </c>
      <c r="AJ4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422" s="372">
        <f>IF(ISTEXT(RawMaterials[[#This Row],[Unit price in quote year]]),"Check calcs",RawMaterials[[#This Row],[Unit price in quote year]]/VLOOKUP(RawMaterials[[#This Row],[Quote Year]],ChemPPI[],14,FALSE)*VLOOKUP(BasisYear,ChemPPI[],14,FALSE))</f>
        <v>1.0241190432718643</v>
      </c>
      <c r="AM422" s="373" t="str">
        <f t="shared" si="6"/>
        <v>$/lb (2016)</v>
      </c>
    </row>
    <row r="423" spans="1:39">
      <c r="A423" s="263" t="s">
        <v>1521</v>
      </c>
      <c r="B423" s="264"/>
      <c r="C423" s="271"/>
      <c r="D423" s="365"/>
      <c r="E423" s="264">
        <v>100</v>
      </c>
      <c r="F423" s="264"/>
      <c r="G423" s="271"/>
      <c r="H423" s="271"/>
      <c r="I423" s="268"/>
      <c r="J423" s="271"/>
      <c r="K423" s="271"/>
      <c r="L423" s="271"/>
      <c r="M423" s="271"/>
      <c r="N423" s="271"/>
      <c r="O423" s="271"/>
      <c r="P423" s="265">
        <v>0.90500000000000003</v>
      </c>
      <c r="Q423" s="264">
        <v>1</v>
      </c>
      <c r="R423" s="264" t="s">
        <v>20</v>
      </c>
      <c r="S423" s="264">
        <v>2008</v>
      </c>
      <c r="T423" s="266" t="s">
        <v>163</v>
      </c>
      <c r="U423" s="267">
        <v>42653</v>
      </c>
      <c r="V423" s="269"/>
      <c r="W423" s="366">
        <f>COUNT(RawMaterials[[#This Row],[Lab Quantity 1]:[Lab Quantity 4]])</f>
        <v>0</v>
      </c>
      <c r="X4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3" s="367" t="e">
        <f>RawMaterials[[#This Row],[Lab Price 1]]/RawMaterials[[#This Row],[Lab Q Model Units 1]]</f>
        <v>#N/A</v>
      </c>
      <c r="AC423" s="367" t="e">
        <f>RawMaterials[[#This Row],[Lab Price 2]]/RawMaterials[[#This Row],[Lab Q Model Units 2]]</f>
        <v>#N/A</v>
      </c>
      <c r="AD423" s="367" t="e">
        <f>RawMaterials[[#This Row],[Lab Price 3]]/RawMaterials[[#This Row],[Lab Q Model Units 3]]</f>
        <v>#N/A</v>
      </c>
      <c r="AE423" s="367" t="e">
        <f>RawMaterials[[#This Row],[Lab Price 4]]/RawMaterials[[#This Row],[Lab Q Model Units 4]]</f>
        <v>#N/A</v>
      </c>
      <c r="AF423" s="367" t="str">
        <f ca="1">IF(RawMaterials[[#This Row],[Lab Quote Count]]&gt;1,SLOPE(LOG(INDIRECT("RawMaterials[@[Lab Unit P 1]:[Lab Unit P "&amp;RawMaterials[[#This Row],[Lab Quote Count]]&amp;"]]")),LOG(INDIRECT("RawMaterials[@[Lab Q Model Units 1]:[Lab Q Model Units "&amp;RawMaterials[[#This Row],[Lab Quote Count]]&amp;"]]"))),"")</f>
        <v/>
      </c>
      <c r="AG423" s="367" t="str">
        <f ca="1">IF(RawMaterials[[#This Row],[Lab Quote Count]]&gt;1,INTERCEPT(LOG(INDIRECT("RawMaterials[@[Lab Unit P 1]:[Lab Unit P "&amp;RawMaterials[[#This Row],[Lab Quote Count]]&amp;"]]")),LOG(INDIRECT("RawMaterials[@[Lab Q Model Units 1]:[Lab Q Model Units "&amp;RawMaterials[[#This Row],[Lab Quote Count]]&amp;"]]"))),"")</f>
        <v/>
      </c>
      <c r="AH423" s="368" t="str">
        <f>IF(RawMaterials[[#This Row],[Material Type]]="Metal Precursor","D13",IF(RawMaterials[[#This Row],[Material Type]]="Ligand","D13","D12"))</f>
        <v>D12</v>
      </c>
      <c r="AI423" s="369" t="str">
        <f ca="1">IF(RawMaterials[[#This Row],[Lab Quote Count]]&gt;1,10^RawMaterials[[#This Row],[Lab Log-Log Intercept]]*INDIRECT(RawMaterials[[#This Row],[Basis Cell]])^RawMaterials[[#This Row],[Lab Log-Log Slope]],"&gt;&gt;&gt; Enter 2 or more lab quotes &lt;&lt;&lt;")</f>
        <v>&gt;&gt;&gt; Enter 2 or more lab quotes &lt;&lt;&lt;</v>
      </c>
      <c r="AJ4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0.90500000000000003</v>
      </c>
      <c r="AL423" s="372">
        <f>IF(ISTEXT(RawMaterials[[#This Row],[Unit price in quote year]]),"Check calcs",RawMaterials[[#This Row],[Unit price in quote year]]/VLOOKUP(RawMaterials[[#This Row],[Quote Year]],ChemPPI[],14,FALSE)*VLOOKUP(BasisYear,ChemPPI[],14,FALSE))</f>
        <v>1.0592316961840424</v>
      </c>
      <c r="AM423" s="373" t="str">
        <f t="shared" si="6"/>
        <v>$/lb (2016)</v>
      </c>
    </row>
    <row r="424" spans="1:39">
      <c r="A424" s="263" t="s">
        <v>1522</v>
      </c>
      <c r="B424" s="264"/>
      <c r="C424" s="271"/>
      <c r="D424" s="365"/>
      <c r="E424" s="264">
        <v>100</v>
      </c>
      <c r="F424" s="264"/>
      <c r="G424" s="271"/>
      <c r="H424" s="271"/>
      <c r="I424" s="268"/>
      <c r="J424" s="271"/>
      <c r="K424" s="271"/>
      <c r="L424" s="271"/>
      <c r="M424" s="271"/>
      <c r="N424" s="271"/>
      <c r="O424" s="271"/>
      <c r="P424" s="265">
        <v>0.88</v>
      </c>
      <c r="Q424" s="264">
        <v>1</v>
      </c>
      <c r="R424" s="264" t="s">
        <v>20</v>
      </c>
      <c r="S424" s="264">
        <v>2008</v>
      </c>
      <c r="T424" s="266" t="s">
        <v>163</v>
      </c>
      <c r="U424" s="267">
        <v>42653</v>
      </c>
      <c r="V424" s="269"/>
      <c r="W424" s="366">
        <f>COUNT(RawMaterials[[#This Row],[Lab Quantity 1]:[Lab Quantity 4]])</f>
        <v>0</v>
      </c>
      <c r="X4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4" s="367" t="e">
        <f>RawMaterials[[#This Row],[Lab Price 1]]/RawMaterials[[#This Row],[Lab Q Model Units 1]]</f>
        <v>#N/A</v>
      </c>
      <c r="AC424" s="367" t="e">
        <f>RawMaterials[[#This Row],[Lab Price 2]]/RawMaterials[[#This Row],[Lab Q Model Units 2]]</f>
        <v>#N/A</v>
      </c>
      <c r="AD424" s="367" t="e">
        <f>RawMaterials[[#This Row],[Lab Price 3]]/RawMaterials[[#This Row],[Lab Q Model Units 3]]</f>
        <v>#N/A</v>
      </c>
      <c r="AE424" s="367" t="e">
        <f>RawMaterials[[#This Row],[Lab Price 4]]/RawMaterials[[#This Row],[Lab Q Model Units 4]]</f>
        <v>#N/A</v>
      </c>
      <c r="AF424" s="367" t="str">
        <f ca="1">IF(RawMaterials[[#This Row],[Lab Quote Count]]&gt;1,SLOPE(LOG(INDIRECT("RawMaterials[@[Lab Unit P 1]:[Lab Unit P "&amp;RawMaterials[[#This Row],[Lab Quote Count]]&amp;"]]")),LOG(INDIRECT("RawMaterials[@[Lab Q Model Units 1]:[Lab Q Model Units "&amp;RawMaterials[[#This Row],[Lab Quote Count]]&amp;"]]"))),"")</f>
        <v/>
      </c>
      <c r="AG424" s="367" t="str">
        <f ca="1">IF(RawMaterials[[#This Row],[Lab Quote Count]]&gt;1,INTERCEPT(LOG(INDIRECT("RawMaterials[@[Lab Unit P 1]:[Lab Unit P "&amp;RawMaterials[[#This Row],[Lab Quote Count]]&amp;"]]")),LOG(INDIRECT("RawMaterials[@[Lab Q Model Units 1]:[Lab Q Model Units "&amp;RawMaterials[[#This Row],[Lab Quote Count]]&amp;"]]"))),"")</f>
        <v/>
      </c>
      <c r="AH424" s="368" t="str">
        <f>IF(RawMaterials[[#This Row],[Material Type]]="Metal Precursor","D13",IF(RawMaterials[[#This Row],[Material Type]]="Ligand","D13","D12"))</f>
        <v>D12</v>
      </c>
      <c r="AI424" s="369" t="str">
        <f ca="1">IF(RawMaterials[[#This Row],[Lab Quote Count]]&gt;1,10^RawMaterials[[#This Row],[Lab Log-Log Intercept]]*INDIRECT(RawMaterials[[#This Row],[Basis Cell]])^RawMaterials[[#This Row],[Lab Log-Log Slope]],"&gt;&gt;&gt; Enter 2 or more lab quotes &lt;&lt;&lt;")</f>
        <v>&gt;&gt;&gt; Enter 2 or more lab quotes &lt;&lt;&lt;</v>
      </c>
      <c r="AJ4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4" s="372">
        <f>IF(ISTEXT(RawMaterials[[#This Row],[Unit price in quote year]]),"Check calcs",RawMaterials[[#This Row],[Unit price in quote year]]/VLOOKUP(RawMaterials[[#This Row],[Quote Year]],ChemPPI[],14,FALSE)*VLOOKUP(BasisYear,ChemPPI[],14,FALSE))</f>
        <v>1.0299711520905606</v>
      </c>
      <c r="AM424" s="373" t="str">
        <f t="shared" si="6"/>
        <v>$/lb (2016)</v>
      </c>
    </row>
    <row r="425" spans="1:39">
      <c r="A425" s="263" t="s">
        <v>1523</v>
      </c>
      <c r="B425" s="264"/>
      <c r="C425" s="271"/>
      <c r="D425" s="365"/>
      <c r="E425" s="264">
        <v>100</v>
      </c>
      <c r="F425" s="264"/>
      <c r="G425" s="271"/>
      <c r="H425" s="271"/>
      <c r="I425" s="268"/>
      <c r="J425" s="271"/>
      <c r="K425" s="271"/>
      <c r="L425" s="271"/>
      <c r="M425" s="271"/>
      <c r="N425" s="271"/>
      <c r="O425" s="271"/>
      <c r="P425" s="265">
        <v>0.88</v>
      </c>
      <c r="Q425" s="264">
        <v>1</v>
      </c>
      <c r="R425" s="264" t="s">
        <v>20</v>
      </c>
      <c r="S425" s="264">
        <v>2008</v>
      </c>
      <c r="T425" s="266" t="s">
        <v>163</v>
      </c>
      <c r="U425" s="267">
        <v>42653</v>
      </c>
      <c r="V425" s="269"/>
      <c r="W425" s="366">
        <f>COUNT(RawMaterials[[#This Row],[Lab Quantity 1]:[Lab Quantity 4]])</f>
        <v>0</v>
      </c>
      <c r="X4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5" s="367" t="e">
        <f>RawMaterials[[#This Row],[Lab Price 1]]/RawMaterials[[#This Row],[Lab Q Model Units 1]]</f>
        <v>#N/A</v>
      </c>
      <c r="AC425" s="367" t="e">
        <f>RawMaterials[[#This Row],[Lab Price 2]]/RawMaterials[[#This Row],[Lab Q Model Units 2]]</f>
        <v>#N/A</v>
      </c>
      <c r="AD425" s="367" t="e">
        <f>RawMaterials[[#This Row],[Lab Price 3]]/RawMaterials[[#This Row],[Lab Q Model Units 3]]</f>
        <v>#N/A</v>
      </c>
      <c r="AE425" s="367" t="e">
        <f>RawMaterials[[#This Row],[Lab Price 4]]/RawMaterials[[#This Row],[Lab Q Model Units 4]]</f>
        <v>#N/A</v>
      </c>
      <c r="AF425" s="367" t="str">
        <f ca="1">IF(RawMaterials[[#This Row],[Lab Quote Count]]&gt;1,SLOPE(LOG(INDIRECT("RawMaterials[@[Lab Unit P 1]:[Lab Unit P "&amp;RawMaterials[[#This Row],[Lab Quote Count]]&amp;"]]")),LOG(INDIRECT("RawMaterials[@[Lab Q Model Units 1]:[Lab Q Model Units "&amp;RawMaterials[[#This Row],[Lab Quote Count]]&amp;"]]"))),"")</f>
        <v/>
      </c>
      <c r="AG425" s="367" t="str">
        <f ca="1">IF(RawMaterials[[#This Row],[Lab Quote Count]]&gt;1,INTERCEPT(LOG(INDIRECT("RawMaterials[@[Lab Unit P 1]:[Lab Unit P "&amp;RawMaterials[[#This Row],[Lab Quote Count]]&amp;"]]")),LOG(INDIRECT("RawMaterials[@[Lab Q Model Units 1]:[Lab Q Model Units "&amp;RawMaterials[[#This Row],[Lab Quote Count]]&amp;"]]"))),"")</f>
        <v/>
      </c>
      <c r="AH425" s="368" t="str">
        <f>IF(RawMaterials[[#This Row],[Material Type]]="Metal Precursor","D13",IF(RawMaterials[[#This Row],[Material Type]]="Ligand","D13","D12"))</f>
        <v>D12</v>
      </c>
      <c r="AI425" s="369" t="str">
        <f ca="1">IF(RawMaterials[[#This Row],[Lab Quote Count]]&gt;1,10^RawMaterials[[#This Row],[Lab Log-Log Intercept]]*INDIRECT(RawMaterials[[#This Row],[Basis Cell]])^RawMaterials[[#This Row],[Lab Log-Log Slope]],"&gt;&gt;&gt; Enter 2 or more lab quotes &lt;&lt;&lt;")</f>
        <v>&gt;&gt;&gt; Enter 2 or more lab quotes &lt;&lt;&lt;</v>
      </c>
      <c r="AJ4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0.88</v>
      </c>
      <c r="AL425" s="372">
        <f>IF(ISTEXT(RawMaterials[[#This Row],[Unit price in quote year]]),"Check calcs",RawMaterials[[#This Row],[Unit price in quote year]]/VLOOKUP(RawMaterials[[#This Row],[Quote Year]],ChemPPI[],14,FALSE)*VLOOKUP(BasisYear,ChemPPI[],14,FALSE))</f>
        <v>1.0299711520905606</v>
      </c>
      <c r="AM425" s="373" t="str">
        <f t="shared" si="6"/>
        <v>$/lb (2016)</v>
      </c>
    </row>
    <row r="426" spans="1:39">
      <c r="A426" s="263" t="s">
        <v>1524</v>
      </c>
      <c r="B426" s="264"/>
      <c r="C426" s="271"/>
      <c r="D426" s="365"/>
      <c r="E426" s="264">
        <v>100</v>
      </c>
      <c r="F426" s="264"/>
      <c r="G426" s="271"/>
      <c r="H426" s="271"/>
      <c r="I426" s="268"/>
      <c r="J426" s="271"/>
      <c r="K426" s="271"/>
      <c r="L426" s="271"/>
      <c r="M426" s="271"/>
      <c r="N426" s="271"/>
      <c r="O426" s="271"/>
      <c r="P426" s="265">
        <v>0.81499999999999995</v>
      </c>
      <c r="Q426" s="264">
        <v>1</v>
      </c>
      <c r="R426" s="264" t="s">
        <v>20</v>
      </c>
      <c r="S426" s="264">
        <v>2008</v>
      </c>
      <c r="T426" s="266" t="s">
        <v>163</v>
      </c>
      <c r="U426" s="267">
        <v>42653</v>
      </c>
      <c r="V426" s="269"/>
      <c r="W426" s="366">
        <f>COUNT(RawMaterials[[#This Row],[Lab Quantity 1]:[Lab Quantity 4]])</f>
        <v>0</v>
      </c>
      <c r="X4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6" s="367" t="e">
        <f>RawMaterials[[#This Row],[Lab Price 1]]/RawMaterials[[#This Row],[Lab Q Model Units 1]]</f>
        <v>#N/A</v>
      </c>
      <c r="AC426" s="367" t="e">
        <f>RawMaterials[[#This Row],[Lab Price 2]]/RawMaterials[[#This Row],[Lab Q Model Units 2]]</f>
        <v>#N/A</v>
      </c>
      <c r="AD426" s="367" t="e">
        <f>RawMaterials[[#This Row],[Lab Price 3]]/RawMaterials[[#This Row],[Lab Q Model Units 3]]</f>
        <v>#N/A</v>
      </c>
      <c r="AE426" s="367" t="e">
        <f>RawMaterials[[#This Row],[Lab Price 4]]/RawMaterials[[#This Row],[Lab Q Model Units 4]]</f>
        <v>#N/A</v>
      </c>
      <c r="AF426" s="367" t="str">
        <f ca="1">IF(RawMaterials[[#This Row],[Lab Quote Count]]&gt;1,SLOPE(LOG(INDIRECT("RawMaterials[@[Lab Unit P 1]:[Lab Unit P "&amp;RawMaterials[[#This Row],[Lab Quote Count]]&amp;"]]")),LOG(INDIRECT("RawMaterials[@[Lab Q Model Units 1]:[Lab Q Model Units "&amp;RawMaterials[[#This Row],[Lab Quote Count]]&amp;"]]"))),"")</f>
        <v/>
      </c>
      <c r="AG426" s="367" t="str">
        <f ca="1">IF(RawMaterials[[#This Row],[Lab Quote Count]]&gt;1,INTERCEPT(LOG(INDIRECT("RawMaterials[@[Lab Unit P 1]:[Lab Unit P "&amp;RawMaterials[[#This Row],[Lab Quote Count]]&amp;"]]")),LOG(INDIRECT("RawMaterials[@[Lab Q Model Units 1]:[Lab Q Model Units "&amp;RawMaterials[[#This Row],[Lab Quote Count]]&amp;"]]"))),"")</f>
        <v/>
      </c>
      <c r="AH426" s="368" t="str">
        <f>IF(RawMaterials[[#This Row],[Material Type]]="Metal Precursor","D13",IF(RawMaterials[[#This Row],[Material Type]]="Ligand","D13","D12"))</f>
        <v>D12</v>
      </c>
      <c r="AI426" s="369" t="str">
        <f ca="1">IF(RawMaterials[[#This Row],[Lab Quote Count]]&gt;1,10^RawMaterials[[#This Row],[Lab Log-Log Intercept]]*INDIRECT(RawMaterials[[#This Row],[Basis Cell]])^RawMaterials[[#This Row],[Lab Log-Log Slope]],"&gt;&gt;&gt; Enter 2 or more lab quotes &lt;&lt;&lt;")</f>
        <v>&gt;&gt;&gt; Enter 2 or more lab quotes &lt;&lt;&lt;</v>
      </c>
      <c r="AJ4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6" s="372">
        <f>IF(ISTEXT(RawMaterials[[#This Row],[Unit price in quote year]]),"Check calcs",RawMaterials[[#This Row],[Unit price in quote year]]/VLOOKUP(RawMaterials[[#This Row],[Quote Year]],ChemPPI[],14,FALSE)*VLOOKUP(BasisYear,ChemPPI[],14,FALSE))</f>
        <v>0.95389373744750772</v>
      </c>
      <c r="AM426" s="373" t="str">
        <f t="shared" si="6"/>
        <v>$/lb (2016)</v>
      </c>
    </row>
    <row r="427" spans="1:39">
      <c r="A427" s="263" t="s">
        <v>1525</v>
      </c>
      <c r="B427" s="264"/>
      <c r="C427" s="271"/>
      <c r="D427" s="365"/>
      <c r="E427" s="264">
        <v>100</v>
      </c>
      <c r="F427" s="264"/>
      <c r="G427" s="271"/>
      <c r="H427" s="271"/>
      <c r="I427" s="268"/>
      <c r="J427" s="271"/>
      <c r="K427" s="271"/>
      <c r="L427" s="271"/>
      <c r="M427" s="271"/>
      <c r="N427" s="271"/>
      <c r="O427" s="271"/>
      <c r="P427" s="265">
        <v>0.81499999999999995</v>
      </c>
      <c r="Q427" s="264">
        <v>1</v>
      </c>
      <c r="R427" s="264" t="s">
        <v>20</v>
      </c>
      <c r="S427" s="264">
        <v>2008</v>
      </c>
      <c r="T427" s="266" t="s">
        <v>163</v>
      </c>
      <c r="U427" s="267">
        <v>42653</v>
      </c>
      <c r="V427" s="269"/>
      <c r="W427" s="366">
        <f>COUNT(RawMaterials[[#This Row],[Lab Quantity 1]:[Lab Quantity 4]])</f>
        <v>0</v>
      </c>
      <c r="X4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7" s="367" t="e">
        <f>RawMaterials[[#This Row],[Lab Price 1]]/RawMaterials[[#This Row],[Lab Q Model Units 1]]</f>
        <v>#N/A</v>
      </c>
      <c r="AC427" s="367" t="e">
        <f>RawMaterials[[#This Row],[Lab Price 2]]/RawMaterials[[#This Row],[Lab Q Model Units 2]]</f>
        <v>#N/A</v>
      </c>
      <c r="AD427" s="367" t="e">
        <f>RawMaterials[[#This Row],[Lab Price 3]]/RawMaterials[[#This Row],[Lab Q Model Units 3]]</f>
        <v>#N/A</v>
      </c>
      <c r="AE427" s="367" t="e">
        <f>RawMaterials[[#This Row],[Lab Price 4]]/RawMaterials[[#This Row],[Lab Q Model Units 4]]</f>
        <v>#N/A</v>
      </c>
      <c r="AF427" s="367" t="str">
        <f ca="1">IF(RawMaterials[[#This Row],[Lab Quote Count]]&gt;1,SLOPE(LOG(INDIRECT("RawMaterials[@[Lab Unit P 1]:[Lab Unit P "&amp;RawMaterials[[#This Row],[Lab Quote Count]]&amp;"]]")),LOG(INDIRECT("RawMaterials[@[Lab Q Model Units 1]:[Lab Q Model Units "&amp;RawMaterials[[#This Row],[Lab Quote Count]]&amp;"]]"))),"")</f>
        <v/>
      </c>
      <c r="AG427" s="367" t="str">
        <f ca="1">IF(RawMaterials[[#This Row],[Lab Quote Count]]&gt;1,INTERCEPT(LOG(INDIRECT("RawMaterials[@[Lab Unit P 1]:[Lab Unit P "&amp;RawMaterials[[#This Row],[Lab Quote Count]]&amp;"]]")),LOG(INDIRECT("RawMaterials[@[Lab Q Model Units 1]:[Lab Q Model Units "&amp;RawMaterials[[#This Row],[Lab Quote Count]]&amp;"]]"))),"")</f>
        <v/>
      </c>
      <c r="AH427" s="368" t="str">
        <f>IF(RawMaterials[[#This Row],[Material Type]]="Metal Precursor","D13",IF(RawMaterials[[#This Row],[Material Type]]="Ligand","D13","D12"))</f>
        <v>D12</v>
      </c>
      <c r="AI427" s="369" t="str">
        <f ca="1">IF(RawMaterials[[#This Row],[Lab Quote Count]]&gt;1,10^RawMaterials[[#This Row],[Lab Log-Log Intercept]]*INDIRECT(RawMaterials[[#This Row],[Basis Cell]])^RawMaterials[[#This Row],[Lab Log-Log Slope]],"&gt;&gt;&gt; Enter 2 or more lab quotes &lt;&lt;&lt;")</f>
        <v>&gt;&gt;&gt; Enter 2 or more lab quotes &lt;&lt;&lt;</v>
      </c>
      <c r="AJ4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27" s="372">
        <f>IF(ISTEXT(RawMaterials[[#This Row],[Unit price in quote year]]),"Check calcs",RawMaterials[[#This Row],[Unit price in quote year]]/VLOOKUP(RawMaterials[[#This Row],[Quote Year]],ChemPPI[],14,FALSE)*VLOOKUP(BasisYear,ChemPPI[],14,FALSE))</f>
        <v>0.95389373744750772</v>
      </c>
      <c r="AM427" s="373" t="str">
        <f t="shared" si="6"/>
        <v>$/lb (2016)</v>
      </c>
    </row>
    <row r="428" spans="1:39">
      <c r="A428" s="263" t="s">
        <v>1526</v>
      </c>
      <c r="B428" s="264"/>
      <c r="C428" s="271"/>
      <c r="D428" s="365"/>
      <c r="E428" s="264">
        <v>100</v>
      </c>
      <c r="F428" s="264"/>
      <c r="G428" s="271"/>
      <c r="H428" s="271"/>
      <c r="I428" s="268"/>
      <c r="J428" s="271"/>
      <c r="K428" s="271"/>
      <c r="L428" s="271"/>
      <c r="M428" s="271"/>
      <c r="N428" s="271"/>
      <c r="O428" s="271"/>
      <c r="P428" s="265">
        <v>0.93</v>
      </c>
      <c r="Q428" s="264">
        <v>1</v>
      </c>
      <c r="R428" s="264" t="s">
        <v>20</v>
      </c>
      <c r="S428" s="264">
        <v>2008</v>
      </c>
      <c r="T428" s="266" t="s">
        <v>163</v>
      </c>
      <c r="U428" s="267">
        <v>42653</v>
      </c>
      <c r="V428" s="269"/>
      <c r="W428" s="366">
        <f>COUNT(RawMaterials[[#This Row],[Lab Quantity 1]:[Lab Quantity 4]])</f>
        <v>0</v>
      </c>
      <c r="X4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8" s="367" t="e">
        <f>RawMaterials[[#This Row],[Lab Price 1]]/RawMaterials[[#This Row],[Lab Q Model Units 1]]</f>
        <v>#N/A</v>
      </c>
      <c r="AC428" s="367" t="e">
        <f>RawMaterials[[#This Row],[Lab Price 2]]/RawMaterials[[#This Row],[Lab Q Model Units 2]]</f>
        <v>#N/A</v>
      </c>
      <c r="AD428" s="367" t="e">
        <f>RawMaterials[[#This Row],[Lab Price 3]]/RawMaterials[[#This Row],[Lab Q Model Units 3]]</f>
        <v>#N/A</v>
      </c>
      <c r="AE428" s="367" t="e">
        <f>RawMaterials[[#This Row],[Lab Price 4]]/RawMaterials[[#This Row],[Lab Q Model Units 4]]</f>
        <v>#N/A</v>
      </c>
      <c r="AF428" s="367" t="str">
        <f ca="1">IF(RawMaterials[[#This Row],[Lab Quote Count]]&gt;1,SLOPE(LOG(INDIRECT("RawMaterials[@[Lab Unit P 1]:[Lab Unit P "&amp;RawMaterials[[#This Row],[Lab Quote Count]]&amp;"]]")),LOG(INDIRECT("RawMaterials[@[Lab Q Model Units 1]:[Lab Q Model Units "&amp;RawMaterials[[#This Row],[Lab Quote Count]]&amp;"]]"))),"")</f>
        <v/>
      </c>
      <c r="AG428" s="367" t="str">
        <f ca="1">IF(RawMaterials[[#This Row],[Lab Quote Count]]&gt;1,INTERCEPT(LOG(INDIRECT("RawMaterials[@[Lab Unit P 1]:[Lab Unit P "&amp;RawMaterials[[#This Row],[Lab Quote Count]]&amp;"]]")),LOG(INDIRECT("RawMaterials[@[Lab Q Model Units 1]:[Lab Q Model Units "&amp;RawMaterials[[#This Row],[Lab Quote Count]]&amp;"]]"))),"")</f>
        <v/>
      </c>
      <c r="AH428" s="368" t="str">
        <f>IF(RawMaterials[[#This Row],[Material Type]]="Metal Precursor","D13",IF(RawMaterials[[#This Row],[Material Type]]="Ligand","D13","D12"))</f>
        <v>D12</v>
      </c>
      <c r="AI428" s="369" t="str">
        <f ca="1">IF(RawMaterials[[#This Row],[Lab Quote Count]]&gt;1,10^RawMaterials[[#This Row],[Lab Log-Log Intercept]]*INDIRECT(RawMaterials[[#This Row],[Basis Cell]])^RawMaterials[[#This Row],[Lab Log-Log Slope]],"&gt;&gt;&gt; Enter 2 or more lab quotes &lt;&lt;&lt;")</f>
        <v>&gt;&gt;&gt; Enter 2 or more lab quotes &lt;&lt;&lt;</v>
      </c>
      <c r="AJ4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0.93</v>
      </c>
      <c r="AL428" s="372">
        <f>IF(ISTEXT(RawMaterials[[#This Row],[Unit price in quote year]]),"Check calcs",RawMaterials[[#This Row],[Unit price in quote year]]/VLOOKUP(RawMaterials[[#This Row],[Quote Year]],ChemPPI[],14,FALSE)*VLOOKUP(BasisYear,ChemPPI[],14,FALSE))</f>
        <v>1.0884922402775243</v>
      </c>
      <c r="AM428" s="373" t="str">
        <f t="shared" si="6"/>
        <v>$/lb (2016)</v>
      </c>
    </row>
    <row r="429" spans="1:39">
      <c r="A429" s="263" t="s">
        <v>1527</v>
      </c>
      <c r="B429" s="264"/>
      <c r="C429" s="271"/>
      <c r="D429" s="365"/>
      <c r="E429" s="264">
        <v>100</v>
      </c>
      <c r="F429" s="264"/>
      <c r="G429" s="271"/>
      <c r="H429" s="271"/>
      <c r="I429" s="268"/>
      <c r="J429" s="271"/>
      <c r="K429" s="271"/>
      <c r="L429" s="271"/>
      <c r="M429" s="271"/>
      <c r="N429" s="271"/>
      <c r="O429" s="271"/>
      <c r="P429" s="265">
        <v>0.95</v>
      </c>
      <c r="Q429" s="264">
        <v>1</v>
      </c>
      <c r="R429" s="264" t="s">
        <v>20</v>
      </c>
      <c r="S429" s="264">
        <v>2008</v>
      </c>
      <c r="T429" s="266" t="s">
        <v>163</v>
      </c>
      <c r="U429" s="267">
        <v>42653</v>
      </c>
      <c r="V429" s="269"/>
      <c r="W429" s="366">
        <f>COUNT(RawMaterials[[#This Row],[Lab Quantity 1]:[Lab Quantity 4]])</f>
        <v>0</v>
      </c>
      <c r="X4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29" s="367" t="e">
        <f>RawMaterials[[#This Row],[Lab Price 1]]/RawMaterials[[#This Row],[Lab Q Model Units 1]]</f>
        <v>#N/A</v>
      </c>
      <c r="AC429" s="367" t="e">
        <f>RawMaterials[[#This Row],[Lab Price 2]]/RawMaterials[[#This Row],[Lab Q Model Units 2]]</f>
        <v>#N/A</v>
      </c>
      <c r="AD429" s="367" t="e">
        <f>RawMaterials[[#This Row],[Lab Price 3]]/RawMaterials[[#This Row],[Lab Q Model Units 3]]</f>
        <v>#N/A</v>
      </c>
      <c r="AE429" s="367" t="e">
        <f>RawMaterials[[#This Row],[Lab Price 4]]/RawMaterials[[#This Row],[Lab Q Model Units 4]]</f>
        <v>#N/A</v>
      </c>
      <c r="AF429" s="367" t="str">
        <f ca="1">IF(RawMaterials[[#This Row],[Lab Quote Count]]&gt;1,SLOPE(LOG(INDIRECT("RawMaterials[@[Lab Unit P 1]:[Lab Unit P "&amp;RawMaterials[[#This Row],[Lab Quote Count]]&amp;"]]")),LOG(INDIRECT("RawMaterials[@[Lab Q Model Units 1]:[Lab Q Model Units "&amp;RawMaterials[[#This Row],[Lab Quote Count]]&amp;"]]"))),"")</f>
        <v/>
      </c>
      <c r="AG429" s="367" t="str">
        <f ca="1">IF(RawMaterials[[#This Row],[Lab Quote Count]]&gt;1,INTERCEPT(LOG(INDIRECT("RawMaterials[@[Lab Unit P 1]:[Lab Unit P "&amp;RawMaterials[[#This Row],[Lab Quote Count]]&amp;"]]")),LOG(INDIRECT("RawMaterials[@[Lab Q Model Units 1]:[Lab Q Model Units "&amp;RawMaterials[[#This Row],[Lab Quote Count]]&amp;"]]"))),"")</f>
        <v/>
      </c>
      <c r="AH429" s="368" t="str">
        <f>IF(RawMaterials[[#This Row],[Material Type]]="Metal Precursor","D13",IF(RawMaterials[[#This Row],[Material Type]]="Ligand","D13","D12"))</f>
        <v>D12</v>
      </c>
      <c r="AI429" s="369" t="str">
        <f ca="1">IF(RawMaterials[[#This Row],[Lab Quote Count]]&gt;1,10^RawMaterials[[#This Row],[Lab Log-Log Intercept]]*INDIRECT(RawMaterials[[#This Row],[Basis Cell]])^RawMaterials[[#This Row],[Lab Log-Log Slope]],"&gt;&gt;&gt; Enter 2 or more lab quotes &lt;&lt;&lt;")</f>
        <v>&gt;&gt;&gt; Enter 2 or more lab quotes &lt;&lt;&lt;</v>
      </c>
      <c r="AJ4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0.95</v>
      </c>
      <c r="AL429" s="372">
        <f>IF(ISTEXT(RawMaterials[[#This Row],[Unit price in quote year]]),"Check calcs",RawMaterials[[#This Row],[Unit price in quote year]]/VLOOKUP(RawMaterials[[#This Row],[Quote Year]],ChemPPI[],14,FALSE)*VLOOKUP(BasisYear,ChemPPI[],14,FALSE))</f>
        <v>1.1119006755523098</v>
      </c>
      <c r="AM429" s="373" t="str">
        <f t="shared" si="6"/>
        <v>$/lb (2016)</v>
      </c>
    </row>
    <row r="430" spans="1:39">
      <c r="A430" s="263" t="s">
        <v>1528</v>
      </c>
      <c r="B430" s="264"/>
      <c r="C430" s="271"/>
      <c r="D430" s="365"/>
      <c r="E430" s="264">
        <v>100</v>
      </c>
      <c r="F430" s="264"/>
      <c r="G430" s="271"/>
      <c r="H430" s="271"/>
      <c r="I430" s="268"/>
      <c r="J430" s="271"/>
      <c r="K430" s="271"/>
      <c r="L430" s="271"/>
      <c r="M430" s="271"/>
      <c r="N430" s="271"/>
      <c r="O430" s="271"/>
      <c r="P430" s="265">
        <v>0.89500000000000002</v>
      </c>
      <c r="Q430" s="264">
        <v>1</v>
      </c>
      <c r="R430" s="264" t="s">
        <v>20</v>
      </c>
      <c r="S430" s="264">
        <v>2008</v>
      </c>
      <c r="T430" s="266" t="s">
        <v>163</v>
      </c>
      <c r="U430" s="267">
        <v>42653</v>
      </c>
      <c r="V430" s="269"/>
      <c r="W430" s="366">
        <f>COUNT(RawMaterials[[#This Row],[Lab Quantity 1]:[Lab Quantity 4]])</f>
        <v>0</v>
      </c>
      <c r="X4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0" s="367" t="e">
        <f>RawMaterials[[#This Row],[Lab Price 1]]/RawMaterials[[#This Row],[Lab Q Model Units 1]]</f>
        <v>#N/A</v>
      </c>
      <c r="AC430" s="367" t="e">
        <f>RawMaterials[[#This Row],[Lab Price 2]]/RawMaterials[[#This Row],[Lab Q Model Units 2]]</f>
        <v>#N/A</v>
      </c>
      <c r="AD430" s="367" t="e">
        <f>RawMaterials[[#This Row],[Lab Price 3]]/RawMaterials[[#This Row],[Lab Q Model Units 3]]</f>
        <v>#N/A</v>
      </c>
      <c r="AE430" s="367" t="e">
        <f>RawMaterials[[#This Row],[Lab Price 4]]/RawMaterials[[#This Row],[Lab Q Model Units 4]]</f>
        <v>#N/A</v>
      </c>
      <c r="AF430" s="367" t="str">
        <f ca="1">IF(RawMaterials[[#This Row],[Lab Quote Count]]&gt;1,SLOPE(LOG(INDIRECT("RawMaterials[@[Lab Unit P 1]:[Lab Unit P "&amp;RawMaterials[[#This Row],[Lab Quote Count]]&amp;"]]")),LOG(INDIRECT("RawMaterials[@[Lab Q Model Units 1]:[Lab Q Model Units "&amp;RawMaterials[[#This Row],[Lab Quote Count]]&amp;"]]"))),"")</f>
        <v/>
      </c>
      <c r="AG430" s="367" t="str">
        <f ca="1">IF(RawMaterials[[#This Row],[Lab Quote Count]]&gt;1,INTERCEPT(LOG(INDIRECT("RawMaterials[@[Lab Unit P 1]:[Lab Unit P "&amp;RawMaterials[[#This Row],[Lab Quote Count]]&amp;"]]")),LOG(INDIRECT("RawMaterials[@[Lab Q Model Units 1]:[Lab Q Model Units "&amp;RawMaterials[[#This Row],[Lab Quote Count]]&amp;"]]"))),"")</f>
        <v/>
      </c>
      <c r="AH430" s="368" t="str">
        <f>IF(RawMaterials[[#This Row],[Material Type]]="Metal Precursor","D13",IF(RawMaterials[[#This Row],[Material Type]]="Ligand","D13","D12"))</f>
        <v>D12</v>
      </c>
      <c r="AI430" s="369" t="str">
        <f ca="1">IF(RawMaterials[[#This Row],[Lab Quote Count]]&gt;1,10^RawMaterials[[#This Row],[Lab Log-Log Intercept]]*INDIRECT(RawMaterials[[#This Row],[Basis Cell]])^RawMaterials[[#This Row],[Lab Log-Log Slope]],"&gt;&gt;&gt; Enter 2 or more lab quotes &lt;&lt;&lt;")</f>
        <v>&gt;&gt;&gt; Enter 2 or more lab quotes &lt;&lt;&lt;</v>
      </c>
      <c r="AJ4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30" s="372">
        <f>IF(ISTEXT(RawMaterials[[#This Row],[Unit price in quote year]]),"Check calcs",RawMaterials[[#This Row],[Unit price in quote year]]/VLOOKUP(RawMaterials[[#This Row],[Quote Year]],ChemPPI[],14,FALSE)*VLOOKUP(BasisYear,ChemPPI[],14,FALSE))</f>
        <v>1.0475274785466497</v>
      </c>
      <c r="AM430" s="373" t="str">
        <f t="shared" si="6"/>
        <v>$/lb (2016)</v>
      </c>
    </row>
    <row r="431" spans="1:39">
      <c r="A431" s="263" t="s">
        <v>1529</v>
      </c>
      <c r="B431" s="264"/>
      <c r="C431" s="271"/>
      <c r="D431" s="365"/>
      <c r="E431" s="264">
        <v>100</v>
      </c>
      <c r="F431" s="264"/>
      <c r="G431" s="271"/>
      <c r="H431" s="271"/>
      <c r="I431" s="268"/>
      <c r="J431" s="271"/>
      <c r="K431" s="271"/>
      <c r="L431" s="271"/>
      <c r="M431" s="271"/>
      <c r="N431" s="271"/>
      <c r="O431" s="271"/>
      <c r="P431" s="265">
        <v>1.0149999999999999</v>
      </c>
      <c r="Q431" s="264">
        <v>1</v>
      </c>
      <c r="R431" s="264" t="s">
        <v>20</v>
      </c>
      <c r="S431" s="264">
        <v>2008</v>
      </c>
      <c r="T431" s="266" t="s">
        <v>163</v>
      </c>
      <c r="U431" s="267">
        <v>42653</v>
      </c>
      <c r="V431" s="269"/>
      <c r="W431" s="366">
        <f>COUNT(RawMaterials[[#This Row],[Lab Quantity 1]:[Lab Quantity 4]])</f>
        <v>0</v>
      </c>
      <c r="X4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1" s="367" t="e">
        <f>RawMaterials[[#This Row],[Lab Price 1]]/RawMaterials[[#This Row],[Lab Q Model Units 1]]</f>
        <v>#N/A</v>
      </c>
      <c r="AC431" s="367" t="e">
        <f>RawMaterials[[#This Row],[Lab Price 2]]/RawMaterials[[#This Row],[Lab Q Model Units 2]]</f>
        <v>#N/A</v>
      </c>
      <c r="AD431" s="367" t="e">
        <f>RawMaterials[[#This Row],[Lab Price 3]]/RawMaterials[[#This Row],[Lab Q Model Units 3]]</f>
        <v>#N/A</v>
      </c>
      <c r="AE431" s="367" t="e">
        <f>RawMaterials[[#This Row],[Lab Price 4]]/RawMaterials[[#This Row],[Lab Q Model Units 4]]</f>
        <v>#N/A</v>
      </c>
      <c r="AF431" s="367" t="str">
        <f ca="1">IF(RawMaterials[[#This Row],[Lab Quote Count]]&gt;1,SLOPE(LOG(INDIRECT("RawMaterials[@[Lab Unit P 1]:[Lab Unit P "&amp;RawMaterials[[#This Row],[Lab Quote Count]]&amp;"]]")),LOG(INDIRECT("RawMaterials[@[Lab Q Model Units 1]:[Lab Q Model Units "&amp;RawMaterials[[#This Row],[Lab Quote Count]]&amp;"]]"))),"")</f>
        <v/>
      </c>
      <c r="AG431" s="367" t="str">
        <f ca="1">IF(RawMaterials[[#This Row],[Lab Quote Count]]&gt;1,INTERCEPT(LOG(INDIRECT("RawMaterials[@[Lab Unit P 1]:[Lab Unit P "&amp;RawMaterials[[#This Row],[Lab Quote Count]]&amp;"]]")),LOG(INDIRECT("RawMaterials[@[Lab Q Model Units 1]:[Lab Q Model Units "&amp;RawMaterials[[#This Row],[Lab Quote Count]]&amp;"]]"))),"")</f>
        <v/>
      </c>
      <c r="AH431" s="368" t="str">
        <f>IF(RawMaterials[[#This Row],[Material Type]]="Metal Precursor","D13",IF(RawMaterials[[#This Row],[Material Type]]="Ligand","D13","D12"))</f>
        <v>D12</v>
      </c>
      <c r="AI431" s="369" t="str">
        <f ca="1">IF(RawMaterials[[#This Row],[Lab Quote Count]]&gt;1,10^RawMaterials[[#This Row],[Lab Log-Log Intercept]]*INDIRECT(RawMaterials[[#This Row],[Basis Cell]])^RawMaterials[[#This Row],[Lab Log-Log Slope]],"&gt;&gt;&gt; Enter 2 or more lab quotes &lt;&lt;&lt;")</f>
        <v>&gt;&gt;&gt; Enter 2 or more lab quotes &lt;&lt;&lt;</v>
      </c>
      <c r="AJ4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1.0149999999999999</v>
      </c>
      <c r="AL431" s="372">
        <f>IF(ISTEXT(RawMaterials[[#This Row],[Unit price in quote year]]),"Check calcs",RawMaterials[[#This Row],[Unit price in quote year]]/VLOOKUP(RawMaterials[[#This Row],[Quote Year]],ChemPPI[],14,FALSE)*VLOOKUP(BasisYear,ChemPPI[],14,FALSE))</f>
        <v>1.1879780901953625</v>
      </c>
      <c r="AM431" s="373" t="str">
        <f t="shared" si="6"/>
        <v>$/lb (2016)</v>
      </c>
    </row>
    <row r="432" spans="1:39">
      <c r="A432" s="263" t="s">
        <v>1530</v>
      </c>
      <c r="B432" s="264"/>
      <c r="C432" s="271"/>
      <c r="D432" s="365"/>
      <c r="E432" s="264">
        <v>100</v>
      </c>
      <c r="F432" s="264"/>
      <c r="G432" s="271"/>
      <c r="H432" s="271"/>
      <c r="I432" s="268"/>
      <c r="J432" s="271"/>
      <c r="K432" s="271"/>
      <c r="L432" s="271"/>
      <c r="M432" s="271"/>
      <c r="N432" s="271"/>
      <c r="O432" s="271"/>
      <c r="P432" s="265">
        <v>1.0349999999999999</v>
      </c>
      <c r="Q432" s="264">
        <v>1</v>
      </c>
      <c r="R432" s="264" t="s">
        <v>20</v>
      </c>
      <c r="S432" s="264">
        <v>2008</v>
      </c>
      <c r="T432" s="266" t="s">
        <v>163</v>
      </c>
      <c r="U432" s="267">
        <v>42653</v>
      </c>
      <c r="V432" s="269"/>
      <c r="W432" s="366">
        <f>COUNT(RawMaterials[[#This Row],[Lab Quantity 1]:[Lab Quantity 4]])</f>
        <v>0</v>
      </c>
      <c r="X4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2" s="367" t="e">
        <f>RawMaterials[[#This Row],[Lab Price 1]]/RawMaterials[[#This Row],[Lab Q Model Units 1]]</f>
        <v>#N/A</v>
      </c>
      <c r="AC432" s="367" t="e">
        <f>RawMaterials[[#This Row],[Lab Price 2]]/RawMaterials[[#This Row],[Lab Q Model Units 2]]</f>
        <v>#N/A</v>
      </c>
      <c r="AD432" s="367" t="e">
        <f>RawMaterials[[#This Row],[Lab Price 3]]/RawMaterials[[#This Row],[Lab Q Model Units 3]]</f>
        <v>#N/A</v>
      </c>
      <c r="AE432" s="367" t="e">
        <f>RawMaterials[[#This Row],[Lab Price 4]]/RawMaterials[[#This Row],[Lab Q Model Units 4]]</f>
        <v>#N/A</v>
      </c>
      <c r="AF432" s="367" t="str">
        <f ca="1">IF(RawMaterials[[#This Row],[Lab Quote Count]]&gt;1,SLOPE(LOG(INDIRECT("RawMaterials[@[Lab Unit P 1]:[Lab Unit P "&amp;RawMaterials[[#This Row],[Lab Quote Count]]&amp;"]]")),LOG(INDIRECT("RawMaterials[@[Lab Q Model Units 1]:[Lab Q Model Units "&amp;RawMaterials[[#This Row],[Lab Quote Count]]&amp;"]]"))),"")</f>
        <v/>
      </c>
      <c r="AG432" s="367" t="str">
        <f ca="1">IF(RawMaterials[[#This Row],[Lab Quote Count]]&gt;1,INTERCEPT(LOG(INDIRECT("RawMaterials[@[Lab Unit P 1]:[Lab Unit P "&amp;RawMaterials[[#This Row],[Lab Quote Count]]&amp;"]]")),LOG(INDIRECT("RawMaterials[@[Lab Q Model Units 1]:[Lab Q Model Units "&amp;RawMaterials[[#This Row],[Lab Quote Count]]&amp;"]]"))),"")</f>
        <v/>
      </c>
      <c r="AH432" s="368" t="str">
        <f>IF(RawMaterials[[#This Row],[Material Type]]="Metal Precursor","D13",IF(RawMaterials[[#This Row],[Material Type]]="Ligand","D13","D12"))</f>
        <v>D12</v>
      </c>
      <c r="AI432" s="369" t="str">
        <f ca="1">IF(RawMaterials[[#This Row],[Lab Quote Count]]&gt;1,10^RawMaterials[[#This Row],[Lab Log-Log Intercept]]*INDIRECT(RawMaterials[[#This Row],[Basis Cell]])^RawMaterials[[#This Row],[Lab Log-Log Slope]],"&gt;&gt;&gt; Enter 2 or more lab quotes &lt;&lt;&lt;")</f>
        <v>&gt;&gt;&gt; Enter 2 or more lab quotes &lt;&lt;&lt;</v>
      </c>
      <c r="AJ4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1.0349999999999999</v>
      </c>
      <c r="AL432" s="372">
        <f>IF(ISTEXT(RawMaterials[[#This Row],[Unit price in quote year]]),"Check calcs",RawMaterials[[#This Row],[Unit price in quote year]]/VLOOKUP(RawMaterials[[#This Row],[Quote Year]],ChemPPI[],14,FALSE)*VLOOKUP(BasisYear,ChemPPI[],14,FALSE))</f>
        <v>1.2113865254701477</v>
      </c>
      <c r="AM432" s="373" t="str">
        <f t="shared" si="6"/>
        <v>$/lb (2016)</v>
      </c>
    </row>
    <row r="433" spans="1:39">
      <c r="A433" s="263" t="s">
        <v>1531</v>
      </c>
      <c r="B433" s="264"/>
      <c r="C433" s="271"/>
      <c r="D433" s="365"/>
      <c r="E433" s="264">
        <v>100</v>
      </c>
      <c r="F433" s="264"/>
      <c r="G433" s="271"/>
      <c r="H433" s="271"/>
      <c r="I433" s="268"/>
      <c r="J433" s="271"/>
      <c r="K433" s="271"/>
      <c r="L433" s="271"/>
      <c r="M433" s="271"/>
      <c r="N433" s="271"/>
      <c r="O433" s="271"/>
      <c r="P433" s="265">
        <v>1.0549999999999999</v>
      </c>
      <c r="Q433" s="264">
        <v>1</v>
      </c>
      <c r="R433" s="264" t="s">
        <v>20</v>
      </c>
      <c r="S433" s="264">
        <v>2008</v>
      </c>
      <c r="T433" s="266" t="s">
        <v>163</v>
      </c>
      <c r="U433" s="267">
        <v>42653</v>
      </c>
      <c r="V433" s="269"/>
      <c r="W433" s="366">
        <f>COUNT(RawMaterials[[#This Row],[Lab Quantity 1]:[Lab Quantity 4]])</f>
        <v>0</v>
      </c>
      <c r="X4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3" s="367" t="e">
        <f>RawMaterials[[#This Row],[Lab Price 1]]/RawMaterials[[#This Row],[Lab Q Model Units 1]]</f>
        <v>#N/A</v>
      </c>
      <c r="AC433" s="367" t="e">
        <f>RawMaterials[[#This Row],[Lab Price 2]]/RawMaterials[[#This Row],[Lab Q Model Units 2]]</f>
        <v>#N/A</v>
      </c>
      <c r="AD433" s="367" t="e">
        <f>RawMaterials[[#This Row],[Lab Price 3]]/RawMaterials[[#This Row],[Lab Q Model Units 3]]</f>
        <v>#N/A</v>
      </c>
      <c r="AE433" s="367" t="e">
        <f>RawMaterials[[#This Row],[Lab Price 4]]/RawMaterials[[#This Row],[Lab Q Model Units 4]]</f>
        <v>#N/A</v>
      </c>
      <c r="AF433" s="367" t="str">
        <f ca="1">IF(RawMaterials[[#This Row],[Lab Quote Count]]&gt;1,SLOPE(LOG(INDIRECT("RawMaterials[@[Lab Unit P 1]:[Lab Unit P "&amp;RawMaterials[[#This Row],[Lab Quote Count]]&amp;"]]")),LOG(INDIRECT("RawMaterials[@[Lab Q Model Units 1]:[Lab Q Model Units "&amp;RawMaterials[[#This Row],[Lab Quote Count]]&amp;"]]"))),"")</f>
        <v/>
      </c>
      <c r="AG433" s="367" t="str">
        <f ca="1">IF(RawMaterials[[#This Row],[Lab Quote Count]]&gt;1,INTERCEPT(LOG(INDIRECT("RawMaterials[@[Lab Unit P 1]:[Lab Unit P "&amp;RawMaterials[[#This Row],[Lab Quote Count]]&amp;"]]")),LOG(INDIRECT("RawMaterials[@[Lab Q Model Units 1]:[Lab Q Model Units "&amp;RawMaterials[[#This Row],[Lab Quote Count]]&amp;"]]"))),"")</f>
        <v/>
      </c>
      <c r="AH433" s="368" t="str">
        <f>IF(RawMaterials[[#This Row],[Material Type]]="Metal Precursor","D13",IF(RawMaterials[[#This Row],[Material Type]]="Ligand","D13","D12"))</f>
        <v>D12</v>
      </c>
      <c r="AI433" s="369" t="str">
        <f ca="1">IF(RawMaterials[[#This Row],[Lab Quote Count]]&gt;1,10^RawMaterials[[#This Row],[Lab Log-Log Intercept]]*INDIRECT(RawMaterials[[#This Row],[Basis Cell]])^RawMaterials[[#This Row],[Lab Log-Log Slope]],"&gt;&gt;&gt; Enter 2 or more lab quotes &lt;&lt;&lt;")</f>
        <v>&gt;&gt;&gt; Enter 2 or more lab quotes &lt;&lt;&lt;</v>
      </c>
      <c r="AJ4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1.0549999999999999</v>
      </c>
      <c r="AL433" s="372">
        <f>IF(ISTEXT(RawMaterials[[#This Row],[Unit price in quote year]]),"Check calcs",RawMaterials[[#This Row],[Unit price in quote year]]/VLOOKUP(RawMaterials[[#This Row],[Quote Year]],ChemPPI[],14,FALSE)*VLOOKUP(BasisYear,ChemPPI[],14,FALSE))</f>
        <v>1.2347949607449333</v>
      </c>
      <c r="AM433" s="373" t="str">
        <f t="shared" si="6"/>
        <v>$/lb (2016)</v>
      </c>
    </row>
    <row r="434" spans="1:39">
      <c r="A434" s="263" t="s">
        <v>1532</v>
      </c>
      <c r="B434" s="264"/>
      <c r="C434" s="271"/>
      <c r="D434" s="365"/>
      <c r="E434" s="264">
        <v>100</v>
      </c>
      <c r="F434" s="264"/>
      <c r="G434" s="271"/>
      <c r="H434" s="271"/>
      <c r="I434" s="268"/>
      <c r="J434" s="271"/>
      <c r="K434" s="271"/>
      <c r="L434" s="271"/>
      <c r="M434" s="271"/>
      <c r="N434" s="271"/>
      <c r="O434" s="271"/>
      <c r="P434" s="265">
        <v>0.92</v>
      </c>
      <c r="Q434" s="264">
        <v>1</v>
      </c>
      <c r="R434" s="264" t="s">
        <v>20</v>
      </c>
      <c r="S434" s="264">
        <v>2008</v>
      </c>
      <c r="T434" s="266" t="s">
        <v>163</v>
      </c>
      <c r="U434" s="267">
        <v>42653</v>
      </c>
      <c r="V434" s="269"/>
      <c r="W434" s="366">
        <f>COUNT(RawMaterials[[#This Row],[Lab Quantity 1]:[Lab Quantity 4]])</f>
        <v>0</v>
      </c>
      <c r="X4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4" s="367" t="e">
        <f>RawMaterials[[#This Row],[Lab Price 1]]/RawMaterials[[#This Row],[Lab Q Model Units 1]]</f>
        <v>#N/A</v>
      </c>
      <c r="AC434" s="367" t="e">
        <f>RawMaterials[[#This Row],[Lab Price 2]]/RawMaterials[[#This Row],[Lab Q Model Units 2]]</f>
        <v>#N/A</v>
      </c>
      <c r="AD434" s="367" t="e">
        <f>RawMaterials[[#This Row],[Lab Price 3]]/RawMaterials[[#This Row],[Lab Q Model Units 3]]</f>
        <v>#N/A</v>
      </c>
      <c r="AE434" s="367" t="e">
        <f>RawMaterials[[#This Row],[Lab Price 4]]/RawMaterials[[#This Row],[Lab Q Model Units 4]]</f>
        <v>#N/A</v>
      </c>
      <c r="AF434" s="367" t="str">
        <f ca="1">IF(RawMaterials[[#This Row],[Lab Quote Count]]&gt;1,SLOPE(LOG(INDIRECT("RawMaterials[@[Lab Unit P 1]:[Lab Unit P "&amp;RawMaterials[[#This Row],[Lab Quote Count]]&amp;"]]")),LOG(INDIRECT("RawMaterials[@[Lab Q Model Units 1]:[Lab Q Model Units "&amp;RawMaterials[[#This Row],[Lab Quote Count]]&amp;"]]"))),"")</f>
        <v/>
      </c>
      <c r="AG434" s="367" t="str">
        <f ca="1">IF(RawMaterials[[#This Row],[Lab Quote Count]]&gt;1,INTERCEPT(LOG(INDIRECT("RawMaterials[@[Lab Unit P 1]:[Lab Unit P "&amp;RawMaterials[[#This Row],[Lab Quote Count]]&amp;"]]")),LOG(INDIRECT("RawMaterials[@[Lab Q Model Units 1]:[Lab Q Model Units "&amp;RawMaterials[[#This Row],[Lab Quote Count]]&amp;"]]"))),"")</f>
        <v/>
      </c>
      <c r="AH434" s="368" t="str">
        <f>IF(RawMaterials[[#This Row],[Material Type]]="Metal Precursor","D13",IF(RawMaterials[[#This Row],[Material Type]]="Ligand","D13","D12"))</f>
        <v>D12</v>
      </c>
      <c r="AI434" s="369" t="str">
        <f ca="1">IF(RawMaterials[[#This Row],[Lab Quote Count]]&gt;1,10^RawMaterials[[#This Row],[Lab Log-Log Intercept]]*INDIRECT(RawMaterials[[#This Row],[Basis Cell]])^RawMaterials[[#This Row],[Lab Log-Log Slope]],"&gt;&gt;&gt; Enter 2 or more lab quotes &lt;&lt;&lt;")</f>
        <v>&gt;&gt;&gt; Enter 2 or more lab quotes &lt;&lt;&lt;</v>
      </c>
      <c r="AJ4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0.92</v>
      </c>
      <c r="AL434" s="372">
        <f>IF(ISTEXT(RawMaterials[[#This Row],[Unit price in quote year]]),"Check calcs",RawMaterials[[#This Row],[Unit price in quote year]]/VLOOKUP(RawMaterials[[#This Row],[Quote Year]],ChemPPI[],14,FALSE)*VLOOKUP(BasisYear,ChemPPI[],14,FALSE))</f>
        <v>1.0767880226401316</v>
      </c>
      <c r="AM434" s="373" t="str">
        <f t="shared" si="6"/>
        <v>$/lb (2016)</v>
      </c>
    </row>
    <row r="435" spans="1:39">
      <c r="A435" s="263" t="s">
        <v>1533</v>
      </c>
      <c r="B435" s="264"/>
      <c r="C435" s="271"/>
      <c r="D435" s="365"/>
      <c r="E435" s="264">
        <v>100</v>
      </c>
      <c r="F435" s="264"/>
      <c r="G435" s="271"/>
      <c r="H435" s="271"/>
      <c r="I435" s="268"/>
      <c r="J435" s="271"/>
      <c r="K435" s="271"/>
      <c r="L435" s="271"/>
      <c r="M435" s="271"/>
      <c r="N435" s="271"/>
      <c r="O435" s="271"/>
      <c r="P435" s="265">
        <v>0.64999999999999902</v>
      </c>
      <c r="Q435" s="264">
        <v>1</v>
      </c>
      <c r="R435" s="264" t="s">
        <v>20</v>
      </c>
      <c r="S435" s="264">
        <v>2008</v>
      </c>
      <c r="T435" s="266" t="s">
        <v>163</v>
      </c>
      <c r="U435" s="267">
        <v>42653</v>
      </c>
      <c r="V435" s="269"/>
      <c r="W435" s="366">
        <f>COUNT(RawMaterials[[#This Row],[Lab Quantity 1]:[Lab Quantity 4]])</f>
        <v>0</v>
      </c>
      <c r="X4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5" s="367" t="e">
        <f>RawMaterials[[#This Row],[Lab Price 1]]/RawMaterials[[#This Row],[Lab Q Model Units 1]]</f>
        <v>#N/A</v>
      </c>
      <c r="AC435" s="367" t="e">
        <f>RawMaterials[[#This Row],[Lab Price 2]]/RawMaterials[[#This Row],[Lab Q Model Units 2]]</f>
        <v>#N/A</v>
      </c>
      <c r="AD435" s="367" t="e">
        <f>RawMaterials[[#This Row],[Lab Price 3]]/RawMaterials[[#This Row],[Lab Q Model Units 3]]</f>
        <v>#N/A</v>
      </c>
      <c r="AE435" s="367" t="e">
        <f>RawMaterials[[#This Row],[Lab Price 4]]/RawMaterials[[#This Row],[Lab Q Model Units 4]]</f>
        <v>#N/A</v>
      </c>
      <c r="AF435" s="367" t="str">
        <f ca="1">IF(RawMaterials[[#This Row],[Lab Quote Count]]&gt;1,SLOPE(LOG(INDIRECT("RawMaterials[@[Lab Unit P 1]:[Lab Unit P "&amp;RawMaterials[[#This Row],[Lab Quote Count]]&amp;"]]")),LOG(INDIRECT("RawMaterials[@[Lab Q Model Units 1]:[Lab Q Model Units "&amp;RawMaterials[[#This Row],[Lab Quote Count]]&amp;"]]"))),"")</f>
        <v/>
      </c>
      <c r="AG435" s="367" t="str">
        <f ca="1">IF(RawMaterials[[#This Row],[Lab Quote Count]]&gt;1,INTERCEPT(LOG(INDIRECT("RawMaterials[@[Lab Unit P 1]:[Lab Unit P "&amp;RawMaterials[[#This Row],[Lab Quote Count]]&amp;"]]")),LOG(INDIRECT("RawMaterials[@[Lab Q Model Units 1]:[Lab Q Model Units "&amp;RawMaterials[[#This Row],[Lab Quote Count]]&amp;"]]"))),"")</f>
        <v/>
      </c>
      <c r="AH435" s="368" t="str">
        <f>IF(RawMaterials[[#This Row],[Material Type]]="Metal Precursor","D13",IF(RawMaterials[[#This Row],[Material Type]]="Ligand","D13","D12"))</f>
        <v>D12</v>
      </c>
      <c r="AI435" s="369" t="str">
        <f ca="1">IF(RawMaterials[[#This Row],[Lab Quote Count]]&gt;1,10^RawMaterials[[#This Row],[Lab Log-Log Intercept]]*INDIRECT(RawMaterials[[#This Row],[Basis Cell]])^RawMaterials[[#This Row],[Lab Log-Log Slope]],"&gt;&gt;&gt; Enter 2 or more lab quotes &lt;&lt;&lt;")</f>
        <v>&gt;&gt;&gt; Enter 2 or more lab quotes &lt;&lt;&lt;</v>
      </c>
      <c r="AJ4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435" s="372">
        <f>IF(ISTEXT(RawMaterials[[#This Row],[Unit price in quote year]]),"Check calcs",RawMaterials[[#This Row],[Unit price in quote year]]/VLOOKUP(RawMaterials[[#This Row],[Quote Year]],ChemPPI[],14,FALSE)*VLOOKUP(BasisYear,ChemPPI[],14,FALSE))</f>
        <v>0.76077414643052654</v>
      </c>
      <c r="AM435" s="373" t="str">
        <f t="shared" si="6"/>
        <v>$/lb (2016)</v>
      </c>
    </row>
    <row r="436" spans="1:39">
      <c r="A436" s="263" t="s">
        <v>1534</v>
      </c>
      <c r="B436" s="264"/>
      <c r="C436" s="271"/>
      <c r="D436" s="365"/>
      <c r="E436" s="264">
        <v>100</v>
      </c>
      <c r="F436" s="264"/>
      <c r="G436" s="271"/>
      <c r="H436" s="271"/>
      <c r="I436" s="268"/>
      <c r="J436" s="271"/>
      <c r="K436" s="271"/>
      <c r="L436" s="271"/>
      <c r="M436" s="271"/>
      <c r="N436" s="271"/>
      <c r="O436" s="271"/>
      <c r="P436" s="265">
        <v>0.61</v>
      </c>
      <c r="Q436" s="264">
        <v>1</v>
      </c>
      <c r="R436" s="264" t="s">
        <v>20</v>
      </c>
      <c r="S436" s="264">
        <v>2008</v>
      </c>
      <c r="T436" s="266" t="s">
        <v>163</v>
      </c>
      <c r="U436" s="267">
        <v>42653</v>
      </c>
      <c r="V436" s="269"/>
      <c r="W436" s="366">
        <f>COUNT(RawMaterials[[#This Row],[Lab Quantity 1]:[Lab Quantity 4]])</f>
        <v>0</v>
      </c>
      <c r="X4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6" s="367" t="e">
        <f>RawMaterials[[#This Row],[Lab Price 1]]/RawMaterials[[#This Row],[Lab Q Model Units 1]]</f>
        <v>#N/A</v>
      </c>
      <c r="AC436" s="367" t="e">
        <f>RawMaterials[[#This Row],[Lab Price 2]]/RawMaterials[[#This Row],[Lab Q Model Units 2]]</f>
        <v>#N/A</v>
      </c>
      <c r="AD436" s="367" t="e">
        <f>RawMaterials[[#This Row],[Lab Price 3]]/RawMaterials[[#This Row],[Lab Q Model Units 3]]</f>
        <v>#N/A</v>
      </c>
      <c r="AE436" s="367" t="e">
        <f>RawMaterials[[#This Row],[Lab Price 4]]/RawMaterials[[#This Row],[Lab Q Model Units 4]]</f>
        <v>#N/A</v>
      </c>
      <c r="AF436" s="367" t="str">
        <f ca="1">IF(RawMaterials[[#This Row],[Lab Quote Count]]&gt;1,SLOPE(LOG(INDIRECT("RawMaterials[@[Lab Unit P 1]:[Lab Unit P "&amp;RawMaterials[[#This Row],[Lab Quote Count]]&amp;"]]")),LOG(INDIRECT("RawMaterials[@[Lab Q Model Units 1]:[Lab Q Model Units "&amp;RawMaterials[[#This Row],[Lab Quote Count]]&amp;"]]"))),"")</f>
        <v/>
      </c>
      <c r="AG436" s="367" t="str">
        <f ca="1">IF(RawMaterials[[#This Row],[Lab Quote Count]]&gt;1,INTERCEPT(LOG(INDIRECT("RawMaterials[@[Lab Unit P 1]:[Lab Unit P "&amp;RawMaterials[[#This Row],[Lab Quote Count]]&amp;"]]")),LOG(INDIRECT("RawMaterials[@[Lab Q Model Units 1]:[Lab Q Model Units "&amp;RawMaterials[[#This Row],[Lab Quote Count]]&amp;"]]"))),"")</f>
        <v/>
      </c>
      <c r="AH436" s="368" t="str">
        <f>IF(RawMaterials[[#This Row],[Material Type]]="Metal Precursor","D13",IF(RawMaterials[[#This Row],[Material Type]]="Ligand","D13","D12"))</f>
        <v>D12</v>
      </c>
      <c r="AI436" s="369" t="str">
        <f ca="1">IF(RawMaterials[[#This Row],[Lab Quote Count]]&gt;1,10^RawMaterials[[#This Row],[Lab Log-Log Intercept]]*INDIRECT(RawMaterials[[#This Row],[Basis Cell]])^RawMaterials[[#This Row],[Lab Log-Log Slope]],"&gt;&gt;&gt; Enter 2 or more lab quotes &lt;&lt;&lt;")</f>
        <v>&gt;&gt;&gt; Enter 2 or more lab quotes &lt;&lt;&lt;</v>
      </c>
      <c r="AJ4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0.61</v>
      </c>
      <c r="AL436" s="372">
        <f>IF(ISTEXT(RawMaterials[[#This Row],[Unit price in quote year]]),"Check calcs",RawMaterials[[#This Row],[Unit price in quote year]]/VLOOKUP(RawMaterials[[#This Row],[Quote Year]],ChemPPI[],14,FALSE)*VLOOKUP(BasisYear,ChemPPI[],14,FALSE))</f>
        <v>0.71395727588095681</v>
      </c>
      <c r="AM436" s="373" t="str">
        <f t="shared" si="6"/>
        <v>$/lb (2016)</v>
      </c>
    </row>
    <row r="437" spans="1:39">
      <c r="A437" s="263" t="s">
        <v>1535</v>
      </c>
      <c r="B437" s="264"/>
      <c r="C437" s="271"/>
      <c r="D437" s="365"/>
      <c r="E437" s="264">
        <v>100</v>
      </c>
      <c r="F437" s="264"/>
      <c r="G437" s="271"/>
      <c r="H437" s="271"/>
      <c r="I437" s="268"/>
      <c r="J437" s="271"/>
      <c r="K437" s="271"/>
      <c r="L437" s="271"/>
      <c r="M437" s="271"/>
      <c r="N437" s="271"/>
      <c r="O437" s="271"/>
      <c r="P437" s="265">
        <v>1.08</v>
      </c>
      <c r="Q437" s="264">
        <v>1</v>
      </c>
      <c r="R437" s="264" t="s">
        <v>20</v>
      </c>
      <c r="S437" s="264">
        <v>2008</v>
      </c>
      <c r="T437" s="266" t="s">
        <v>163</v>
      </c>
      <c r="U437" s="267">
        <v>42653</v>
      </c>
      <c r="V437" s="269"/>
      <c r="W437" s="366">
        <f>COUNT(RawMaterials[[#This Row],[Lab Quantity 1]:[Lab Quantity 4]])</f>
        <v>0</v>
      </c>
      <c r="X4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7" s="367" t="e">
        <f>RawMaterials[[#This Row],[Lab Price 1]]/RawMaterials[[#This Row],[Lab Q Model Units 1]]</f>
        <v>#N/A</v>
      </c>
      <c r="AC437" s="367" t="e">
        <f>RawMaterials[[#This Row],[Lab Price 2]]/RawMaterials[[#This Row],[Lab Q Model Units 2]]</f>
        <v>#N/A</v>
      </c>
      <c r="AD437" s="367" t="e">
        <f>RawMaterials[[#This Row],[Lab Price 3]]/RawMaterials[[#This Row],[Lab Q Model Units 3]]</f>
        <v>#N/A</v>
      </c>
      <c r="AE437" s="367" t="e">
        <f>RawMaterials[[#This Row],[Lab Price 4]]/RawMaterials[[#This Row],[Lab Q Model Units 4]]</f>
        <v>#N/A</v>
      </c>
      <c r="AF437" s="367" t="str">
        <f ca="1">IF(RawMaterials[[#This Row],[Lab Quote Count]]&gt;1,SLOPE(LOG(INDIRECT("RawMaterials[@[Lab Unit P 1]:[Lab Unit P "&amp;RawMaterials[[#This Row],[Lab Quote Count]]&amp;"]]")),LOG(INDIRECT("RawMaterials[@[Lab Q Model Units 1]:[Lab Q Model Units "&amp;RawMaterials[[#This Row],[Lab Quote Count]]&amp;"]]"))),"")</f>
        <v/>
      </c>
      <c r="AG437" s="367" t="str">
        <f ca="1">IF(RawMaterials[[#This Row],[Lab Quote Count]]&gt;1,INTERCEPT(LOG(INDIRECT("RawMaterials[@[Lab Unit P 1]:[Lab Unit P "&amp;RawMaterials[[#This Row],[Lab Quote Count]]&amp;"]]")),LOG(INDIRECT("RawMaterials[@[Lab Q Model Units 1]:[Lab Q Model Units "&amp;RawMaterials[[#This Row],[Lab Quote Count]]&amp;"]]"))),"")</f>
        <v/>
      </c>
      <c r="AH437" s="368" t="str">
        <f>IF(RawMaterials[[#This Row],[Material Type]]="Metal Precursor","D13",IF(RawMaterials[[#This Row],[Material Type]]="Ligand","D13","D12"))</f>
        <v>D12</v>
      </c>
      <c r="AI437" s="369" t="str">
        <f ca="1">IF(RawMaterials[[#This Row],[Lab Quote Count]]&gt;1,10^RawMaterials[[#This Row],[Lab Log-Log Intercept]]*INDIRECT(RawMaterials[[#This Row],[Basis Cell]])^RawMaterials[[#This Row],[Lab Log-Log Slope]],"&gt;&gt;&gt; Enter 2 or more lab quotes &lt;&lt;&lt;")</f>
        <v>&gt;&gt;&gt; Enter 2 or more lab quotes &lt;&lt;&lt;</v>
      </c>
      <c r="AJ4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1.08</v>
      </c>
      <c r="AL437" s="372">
        <f>IF(ISTEXT(RawMaterials[[#This Row],[Unit price in quote year]]),"Check calcs",RawMaterials[[#This Row],[Unit price in quote year]]/VLOOKUP(RawMaterials[[#This Row],[Quote Year]],ChemPPI[],14,FALSE)*VLOOKUP(BasisYear,ChemPPI[],14,FALSE))</f>
        <v>1.2640555048384154</v>
      </c>
      <c r="AM437" s="373" t="str">
        <f t="shared" si="6"/>
        <v>$/lb (2016)</v>
      </c>
    </row>
    <row r="438" spans="1:39">
      <c r="A438" s="263" t="s">
        <v>1536</v>
      </c>
      <c r="B438" s="264"/>
      <c r="C438" s="271"/>
      <c r="D438" s="365"/>
      <c r="E438" s="264">
        <v>100</v>
      </c>
      <c r="F438" s="264"/>
      <c r="G438" s="271"/>
      <c r="H438" s="271"/>
      <c r="I438" s="268"/>
      <c r="J438" s="271"/>
      <c r="K438" s="271"/>
      <c r="L438" s="271"/>
      <c r="M438" s="271"/>
      <c r="N438" s="271"/>
      <c r="O438" s="271"/>
      <c r="P438" s="265">
        <v>40</v>
      </c>
      <c r="Q438" s="264">
        <v>100</v>
      </c>
      <c r="R438" s="264" t="s">
        <v>20</v>
      </c>
      <c r="S438" s="264">
        <v>2006</v>
      </c>
      <c r="T438" s="266" t="s">
        <v>163</v>
      </c>
      <c r="U438" s="267">
        <v>42653</v>
      </c>
      <c r="V438" s="269"/>
      <c r="W438" s="366">
        <f>COUNT(RawMaterials[[#This Row],[Lab Quantity 1]:[Lab Quantity 4]])</f>
        <v>0</v>
      </c>
      <c r="X4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8" s="367" t="e">
        <f>RawMaterials[[#This Row],[Lab Price 1]]/RawMaterials[[#This Row],[Lab Q Model Units 1]]</f>
        <v>#N/A</v>
      </c>
      <c r="AC438" s="367" t="e">
        <f>RawMaterials[[#This Row],[Lab Price 2]]/RawMaterials[[#This Row],[Lab Q Model Units 2]]</f>
        <v>#N/A</v>
      </c>
      <c r="AD438" s="367" t="e">
        <f>RawMaterials[[#This Row],[Lab Price 3]]/RawMaterials[[#This Row],[Lab Q Model Units 3]]</f>
        <v>#N/A</v>
      </c>
      <c r="AE438" s="367" t="e">
        <f>RawMaterials[[#This Row],[Lab Price 4]]/RawMaterials[[#This Row],[Lab Q Model Units 4]]</f>
        <v>#N/A</v>
      </c>
      <c r="AF438" s="367" t="str">
        <f ca="1">IF(RawMaterials[[#This Row],[Lab Quote Count]]&gt;1,SLOPE(LOG(INDIRECT("RawMaterials[@[Lab Unit P 1]:[Lab Unit P "&amp;RawMaterials[[#This Row],[Lab Quote Count]]&amp;"]]")),LOG(INDIRECT("RawMaterials[@[Lab Q Model Units 1]:[Lab Q Model Units "&amp;RawMaterials[[#This Row],[Lab Quote Count]]&amp;"]]"))),"")</f>
        <v/>
      </c>
      <c r="AG438" s="367" t="str">
        <f ca="1">IF(RawMaterials[[#This Row],[Lab Quote Count]]&gt;1,INTERCEPT(LOG(INDIRECT("RawMaterials[@[Lab Unit P 1]:[Lab Unit P "&amp;RawMaterials[[#This Row],[Lab Quote Count]]&amp;"]]")),LOG(INDIRECT("RawMaterials[@[Lab Q Model Units 1]:[Lab Q Model Units "&amp;RawMaterials[[#This Row],[Lab Quote Count]]&amp;"]]"))),"")</f>
        <v/>
      </c>
      <c r="AH438" s="368" t="str">
        <f>IF(RawMaterials[[#This Row],[Material Type]]="Metal Precursor","D13",IF(RawMaterials[[#This Row],[Material Type]]="Ligand","D13","D12"))</f>
        <v>D12</v>
      </c>
      <c r="AI438" s="369" t="str">
        <f ca="1">IF(RawMaterials[[#This Row],[Lab Quote Count]]&gt;1,10^RawMaterials[[#This Row],[Lab Log-Log Intercept]]*INDIRECT(RawMaterials[[#This Row],[Basis Cell]])^RawMaterials[[#This Row],[Lab Log-Log Slope]],"&gt;&gt;&gt; Enter 2 or more lab quotes &lt;&lt;&lt;")</f>
        <v>&gt;&gt;&gt; Enter 2 or more lab quotes &lt;&lt;&lt;</v>
      </c>
      <c r="AJ4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v>
      </c>
      <c r="AL438" s="372">
        <f>IF(ISTEXT(RawMaterials[[#This Row],[Unit price in quote year]]),"Check calcs",RawMaterials[[#This Row],[Unit price in quote year]]/VLOOKUP(RawMaterials[[#This Row],[Quote Year]],ChemPPI[],14,FALSE)*VLOOKUP(BasisYear,ChemPPI[],14,FALSE))</f>
        <v>0.54288617886178869</v>
      </c>
      <c r="AM438" s="373" t="str">
        <f t="shared" si="6"/>
        <v>$/lb (2016)</v>
      </c>
    </row>
    <row r="439" spans="1:39">
      <c r="A439" s="263" t="s">
        <v>1537</v>
      </c>
      <c r="B439" s="264"/>
      <c r="C439" s="271"/>
      <c r="D439" s="365"/>
      <c r="E439" s="264">
        <v>100</v>
      </c>
      <c r="F439" s="264"/>
      <c r="G439" s="271"/>
      <c r="H439" s="271"/>
      <c r="I439" s="268"/>
      <c r="J439" s="271"/>
      <c r="K439" s="271"/>
      <c r="L439" s="271"/>
      <c r="M439" s="271"/>
      <c r="N439" s="271"/>
      <c r="O439" s="271"/>
      <c r="P439" s="265">
        <v>39</v>
      </c>
      <c r="Q439" s="264">
        <v>100</v>
      </c>
      <c r="R439" s="264" t="s">
        <v>20</v>
      </c>
      <c r="S439" s="264">
        <v>2006</v>
      </c>
      <c r="T439" s="266" t="s">
        <v>163</v>
      </c>
      <c r="U439" s="267">
        <v>42653</v>
      </c>
      <c r="V439" s="269"/>
      <c r="W439" s="366">
        <f>COUNT(RawMaterials[[#This Row],[Lab Quantity 1]:[Lab Quantity 4]])</f>
        <v>0</v>
      </c>
      <c r="X4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39" s="367" t="e">
        <f>RawMaterials[[#This Row],[Lab Price 1]]/RawMaterials[[#This Row],[Lab Q Model Units 1]]</f>
        <v>#N/A</v>
      </c>
      <c r="AC439" s="367" t="e">
        <f>RawMaterials[[#This Row],[Lab Price 2]]/RawMaterials[[#This Row],[Lab Q Model Units 2]]</f>
        <v>#N/A</v>
      </c>
      <c r="AD439" s="367" t="e">
        <f>RawMaterials[[#This Row],[Lab Price 3]]/RawMaterials[[#This Row],[Lab Q Model Units 3]]</f>
        <v>#N/A</v>
      </c>
      <c r="AE439" s="367" t="e">
        <f>RawMaterials[[#This Row],[Lab Price 4]]/RawMaterials[[#This Row],[Lab Q Model Units 4]]</f>
        <v>#N/A</v>
      </c>
      <c r="AF439" s="367" t="str">
        <f ca="1">IF(RawMaterials[[#This Row],[Lab Quote Count]]&gt;1,SLOPE(LOG(INDIRECT("RawMaterials[@[Lab Unit P 1]:[Lab Unit P "&amp;RawMaterials[[#This Row],[Lab Quote Count]]&amp;"]]")),LOG(INDIRECT("RawMaterials[@[Lab Q Model Units 1]:[Lab Q Model Units "&amp;RawMaterials[[#This Row],[Lab Quote Count]]&amp;"]]"))),"")</f>
        <v/>
      </c>
      <c r="AG439" s="367" t="str">
        <f ca="1">IF(RawMaterials[[#This Row],[Lab Quote Count]]&gt;1,INTERCEPT(LOG(INDIRECT("RawMaterials[@[Lab Unit P 1]:[Lab Unit P "&amp;RawMaterials[[#This Row],[Lab Quote Count]]&amp;"]]")),LOG(INDIRECT("RawMaterials[@[Lab Q Model Units 1]:[Lab Q Model Units "&amp;RawMaterials[[#This Row],[Lab Quote Count]]&amp;"]]"))),"")</f>
        <v/>
      </c>
      <c r="AH439" s="368" t="str">
        <f>IF(RawMaterials[[#This Row],[Material Type]]="Metal Precursor","D13",IF(RawMaterials[[#This Row],[Material Type]]="Ligand","D13","D12"))</f>
        <v>D12</v>
      </c>
      <c r="AI439" s="369" t="str">
        <f ca="1">IF(RawMaterials[[#This Row],[Lab Quote Count]]&gt;1,10^RawMaterials[[#This Row],[Lab Log-Log Intercept]]*INDIRECT(RawMaterials[[#This Row],[Basis Cell]])^RawMaterials[[#This Row],[Lab Log-Log Slope]],"&gt;&gt;&gt; Enter 2 or more lab quotes &lt;&lt;&lt;")</f>
        <v>&gt;&gt;&gt; Enter 2 or more lab quotes &lt;&lt;&lt;</v>
      </c>
      <c r="AJ4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0.39</v>
      </c>
      <c r="AL439" s="372">
        <f>IF(ISTEXT(RawMaterials[[#This Row],[Unit price in quote year]]),"Check calcs",RawMaterials[[#This Row],[Unit price in quote year]]/VLOOKUP(RawMaterials[[#This Row],[Quote Year]],ChemPPI[],14,FALSE)*VLOOKUP(BasisYear,ChemPPI[],14,FALSE))</f>
        <v>0.529314024390244</v>
      </c>
      <c r="AM439" s="373" t="str">
        <f t="shared" si="6"/>
        <v>$/lb (2016)</v>
      </c>
    </row>
    <row r="440" spans="1:39">
      <c r="A440" s="263" t="s">
        <v>1538</v>
      </c>
      <c r="B440" s="264"/>
      <c r="C440" s="271"/>
      <c r="D440" s="365"/>
      <c r="E440" s="264">
        <v>100</v>
      </c>
      <c r="F440" s="264"/>
      <c r="G440" s="271"/>
      <c r="H440" s="271"/>
      <c r="I440" s="268"/>
      <c r="J440" s="271"/>
      <c r="K440" s="271"/>
      <c r="L440" s="271"/>
      <c r="M440" s="271"/>
      <c r="N440" s="271"/>
      <c r="O440" s="271"/>
      <c r="P440" s="265">
        <v>18</v>
      </c>
      <c r="Q440" s="264">
        <v>100</v>
      </c>
      <c r="R440" s="264" t="s">
        <v>20</v>
      </c>
      <c r="S440" s="264">
        <v>2006</v>
      </c>
      <c r="T440" s="266" t="s">
        <v>163</v>
      </c>
      <c r="U440" s="267">
        <v>42653</v>
      </c>
      <c r="V440" s="269"/>
      <c r="W440" s="366">
        <f>COUNT(RawMaterials[[#This Row],[Lab Quantity 1]:[Lab Quantity 4]])</f>
        <v>0</v>
      </c>
      <c r="X4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0" s="367" t="e">
        <f>RawMaterials[[#This Row],[Lab Price 1]]/RawMaterials[[#This Row],[Lab Q Model Units 1]]</f>
        <v>#N/A</v>
      </c>
      <c r="AC440" s="367" t="e">
        <f>RawMaterials[[#This Row],[Lab Price 2]]/RawMaterials[[#This Row],[Lab Q Model Units 2]]</f>
        <v>#N/A</v>
      </c>
      <c r="AD440" s="367" t="e">
        <f>RawMaterials[[#This Row],[Lab Price 3]]/RawMaterials[[#This Row],[Lab Q Model Units 3]]</f>
        <v>#N/A</v>
      </c>
      <c r="AE440" s="367" t="e">
        <f>RawMaterials[[#This Row],[Lab Price 4]]/RawMaterials[[#This Row],[Lab Q Model Units 4]]</f>
        <v>#N/A</v>
      </c>
      <c r="AF440" s="367" t="str">
        <f ca="1">IF(RawMaterials[[#This Row],[Lab Quote Count]]&gt;1,SLOPE(LOG(INDIRECT("RawMaterials[@[Lab Unit P 1]:[Lab Unit P "&amp;RawMaterials[[#This Row],[Lab Quote Count]]&amp;"]]")),LOG(INDIRECT("RawMaterials[@[Lab Q Model Units 1]:[Lab Q Model Units "&amp;RawMaterials[[#This Row],[Lab Quote Count]]&amp;"]]"))),"")</f>
        <v/>
      </c>
      <c r="AG440" s="367" t="str">
        <f ca="1">IF(RawMaterials[[#This Row],[Lab Quote Count]]&gt;1,INTERCEPT(LOG(INDIRECT("RawMaterials[@[Lab Unit P 1]:[Lab Unit P "&amp;RawMaterials[[#This Row],[Lab Quote Count]]&amp;"]]")),LOG(INDIRECT("RawMaterials[@[Lab Q Model Units 1]:[Lab Q Model Units "&amp;RawMaterials[[#This Row],[Lab Quote Count]]&amp;"]]"))),"")</f>
        <v/>
      </c>
      <c r="AH440" s="368" t="str">
        <f>IF(RawMaterials[[#This Row],[Material Type]]="Metal Precursor","D13",IF(RawMaterials[[#This Row],[Material Type]]="Ligand","D13","D12"))</f>
        <v>D12</v>
      </c>
      <c r="AI440" s="369" t="str">
        <f ca="1">IF(RawMaterials[[#This Row],[Lab Quote Count]]&gt;1,10^RawMaterials[[#This Row],[Lab Log-Log Intercept]]*INDIRECT(RawMaterials[[#This Row],[Basis Cell]])^RawMaterials[[#This Row],[Lab Log-Log Slope]],"&gt;&gt;&gt; Enter 2 or more lab quotes &lt;&lt;&lt;")</f>
        <v>&gt;&gt;&gt; Enter 2 or more lab quotes &lt;&lt;&lt;</v>
      </c>
      <c r="AJ4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440" s="372">
        <f>IF(ISTEXT(RawMaterials[[#This Row],[Unit price in quote year]]),"Check calcs",RawMaterials[[#This Row],[Unit price in quote year]]/VLOOKUP(RawMaterials[[#This Row],[Quote Year]],ChemPPI[],14,FALSE)*VLOOKUP(BasisYear,ChemPPI[],14,FALSE))</f>
        <v>0.2442987804878049</v>
      </c>
      <c r="AM440" s="373" t="str">
        <f t="shared" si="6"/>
        <v>$/lb (2016)</v>
      </c>
    </row>
    <row r="441" spans="1:39">
      <c r="A441" s="263" t="s">
        <v>1539</v>
      </c>
      <c r="B441" s="264"/>
      <c r="C441" s="271"/>
      <c r="D441" s="365"/>
      <c r="E441" s="264">
        <v>100</v>
      </c>
      <c r="F441" s="264"/>
      <c r="G441" s="271"/>
      <c r="H441" s="271"/>
      <c r="I441" s="268"/>
      <c r="J441" s="271"/>
      <c r="K441" s="271"/>
      <c r="L441" s="271"/>
      <c r="M441" s="271"/>
      <c r="N441" s="271"/>
      <c r="O441" s="271"/>
      <c r="P441" s="265">
        <v>0.51</v>
      </c>
      <c r="Q441" s="264">
        <v>1</v>
      </c>
      <c r="R441" s="264" t="s">
        <v>20</v>
      </c>
      <c r="S441" s="264">
        <v>2006</v>
      </c>
      <c r="T441" s="266" t="s">
        <v>163</v>
      </c>
      <c r="U441" s="267">
        <v>42653</v>
      </c>
      <c r="V441" s="269"/>
      <c r="W441" s="366">
        <f>COUNT(RawMaterials[[#This Row],[Lab Quantity 1]:[Lab Quantity 4]])</f>
        <v>0</v>
      </c>
      <c r="X4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1" s="367" t="e">
        <f>RawMaterials[[#This Row],[Lab Price 1]]/RawMaterials[[#This Row],[Lab Q Model Units 1]]</f>
        <v>#N/A</v>
      </c>
      <c r="AC441" s="367" t="e">
        <f>RawMaterials[[#This Row],[Lab Price 2]]/RawMaterials[[#This Row],[Lab Q Model Units 2]]</f>
        <v>#N/A</v>
      </c>
      <c r="AD441" s="367" t="e">
        <f>RawMaterials[[#This Row],[Lab Price 3]]/RawMaterials[[#This Row],[Lab Q Model Units 3]]</f>
        <v>#N/A</v>
      </c>
      <c r="AE441" s="367" t="e">
        <f>RawMaterials[[#This Row],[Lab Price 4]]/RawMaterials[[#This Row],[Lab Q Model Units 4]]</f>
        <v>#N/A</v>
      </c>
      <c r="AF441" s="367" t="str">
        <f ca="1">IF(RawMaterials[[#This Row],[Lab Quote Count]]&gt;1,SLOPE(LOG(INDIRECT("RawMaterials[@[Lab Unit P 1]:[Lab Unit P "&amp;RawMaterials[[#This Row],[Lab Quote Count]]&amp;"]]")),LOG(INDIRECT("RawMaterials[@[Lab Q Model Units 1]:[Lab Q Model Units "&amp;RawMaterials[[#This Row],[Lab Quote Count]]&amp;"]]"))),"")</f>
        <v/>
      </c>
      <c r="AG441" s="367" t="str">
        <f ca="1">IF(RawMaterials[[#This Row],[Lab Quote Count]]&gt;1,INTERCEPT(LOG(INDIRECT("RawMaterials[@[Lab Unit P 1]:[Lab Unit P "&amp;RawMaterials[[#This Row],[Lab Quote Count]]&amp;"]]")),LOG(INDIRECT("RawMaterials[@[Lab Q Model Units 1]:[Lab Q Model Units "&amp;RawMaterials[[#This Row],[Lab Quote Count]]&amp;"]]"))),"")</f>
        <v/>
      </c>
      <c r="AH441" s="368" t="str">
        <f>IF(RawMaterials[[#This Row],[Material Type]]="Metal Precursor","D13",IF(RawMaterials[[#This Row],[Material Type]]="Ligand","D13","D12"))</f>
        <v>D12</v>
      </c>
      <c r="AI441" s="369" t="str">
        <f ca="1">IF(RawMaterials[[#This Row],[Lab Quote Count]]&gt;1,10^RawMaterials[[#This Row],[Lab Log-Log Intercept]]*INDIRECT(RawMaterials[[#This Row],[Basis Cell]])^RawMaterials[[#This Row],[Lab Log-Log Slope]],"&gt;&gt;&gt; Enter 2 or more lab quotes &lt;&lt;&lt;")</f>
        <v>&gt;&gt;&gt; Enter 2 or more lab quotes &lt;&lt;&lt;</v>
      </c>
      <c r="AJ4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41" s="372">
        <f>IF(ISTEXT(RawMaterials[[#This Row],[Unit price in quote year]]),"Check calcs",RawMaterials[[#This Row],[Unit price in quote year]]/VLOOKUP(RawMaterials[[#This Row],[Quote Year]],ChemPPI[],14,FALSE)*VLOOKUP(BasisYear,ChemPPI[],14,FALSE))</f>
        <v>0.69217987804878056</v>
      </c>
      <c r="AM441" s="373" t="str">
        <f t="shared" si="6"/>
        <v>$/lb (2016)</v>
      </c>
    </row>
    <row r="442" spans="1:39">
      <c r="A442" s="263" t="s">
        <v>1540</v>
      </c>
      <c r="B442" s="264"/>
      <c r="C442" s="271"/>
      <c r="D442" s="365"/>
      <c r="E442" s="264">
        <v>100</v>
      </c>
      <c r="F442" s="264"/>
      <c r="G442" s="271"/>
      <c r="H442" s="271"/>
      <c r="I442" s="268"/>
      <c r="J442" s="271"/>
      <c r="K442" s="271"/>
      <c r="L442" s="271"/>
      <c r="M442" s="271"/>
      <c r="N442" s="271"/>
      <c r="O442" s="271"/>
      <c r="P442" s="265">
        <v>43</v>
      </c>
      <c r="Q442" s="264">
        <v>100</v>
      </c>
      <c r="R442" s="264" t="s">
        <v>20</v>
      </c>
      <c r="S442" s="264">
        <v>2006</v>
      </c>
      <c r="T442" s="266" t="s">
        <v>163</v>
      </c>
      <c r="U442" s="267">
        <v>42653</v>
      </c>
      <c r="V442" s="269"/>
      <c r="W442" s="366">
        <f>COUNT(RawMaterials[[#This Row],[Lab Quantity 1]:[Lab Quantity 4]])</f>
        <v>0</v>
      </c>
      <c r="X4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2" s="367" t="e">
        <f>RawMaterials[[#This Row],[Lab Price 1]]/RawMaterials[[#This Row],[Lab Q Model Units 1]]</f>
        <v>#N/A</v>
      </c>
      <c r="AC442" s="367" t="e">
        <f>RawMaterials[[#This Row],[Lab Price 2]]/RawMaterials[[#This Row],[Lab Q Model Units 2]]</f>
        <v>#N/A</v>
      </c>
      <c r="AD442" s="367" t="e">
        <f>RawMaterials[[#This Row],[Lab Price 3]]/RawMaterials[[#This Row],[Lab Q Model Units 3]]</f>
        <v>#N/A</v>
      </c>
      <c r="AE442" s="367" t="e">
        <f>RawMaterials[[#This Row],[Lab Price 4]]/RawMaterials[[#This Row],[Lab Q Model Units 4]]</f>
        <v>#N/A</v>
      </c>
      <c r="AF442" s="367" t="str">
        <f ca="1">IF(RawMaterials[[#This Row],[Lab Quote Count]]&gt;1,SLOPE(LOG(INDIRECT("RawMaterials[@[Lab Unit P 1]:[Lab Unit P "&amp;RawMaterials[[#This Row],[Lab Quote Count]]&amp;"]]")),LOG(INDIRECT("RawMaterials[@[Lab Q Model Units 1]:[Lab Q Model Units "&amp;RawMaterials[[#This Row],[Lab Quote Count]]&amp;"]]"))),"")</f>
        <v/>
      </c>
      <c r="AG442" s="367" t="str">
        <f ca="1">IF(RawMaterials[[#This Row],[Lab Quote Count]]&gt;1,INTERCEPT(LOG(INDIRECT("RawMaterials[@[Lab Unit P 1]:[Lab Unit P "&amp;RawMaterials[[#This Row],[Lab Quote Count]]&amp;"]]")),LOG(INDIRECT("RawMaterials[@[Lab Q Model Units 1]:[Lab Q Model Units "&amp;RawMaterials[[#This Row],[Lab Quote Count]]&amp;"]]"))),"")</f>
        <v/>
      </c>
      <c r="AH442" s="368" t="str">
        <f>IF(RawMaterials[[#This Row],[Material Type]]="Metal Precursor","D13",IF(RawMaterials[[#This Row],[Material Type]]="Ligand","D13","D12"))</f>
        <v>D12</v>
      </c>
      <c r="AI442" s="369" t="str">
        <f ca="1">IF(RawMaterials[[#This Row],[Lab Quote Count]]&gt;1,10^RawMaterials[[#This Row],[Lab Log-Log Intercept]]*INDIRECT(RawMaterials[[#This Row],[Basis Cell]])^RawMaterials[[#This Row],[Lab Log-Log Slope]],"&gt;&gt;&gt; Enter 2 or more lab quotes &lt;&lt;&lt;")</f>
        <v>&gt;&gt;&gt; Enter 2 or more lab quotes &lt;&lt;&lt;</v>
      </c>
      <c r="AJ4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0.43</v>
      </c>
      <c r="AL442" s="372">
        <f>IF(ISTEXT(RawMaterials[[#This Row],[Unit price in quote year]]),"Check calcs",RawMaterials[[#This Row],[Unit price in quote year]]/VLOOKUP(RawMaterials[[#This Row],[Quote Year]],ChemPPI[],14,FALSE)*VLOOKUP(BasisYear,ChemPPI[],14,FALSE))</f>
        <v>0.58360264227642289</v>
      </c>
      <c r="AM442" s="373" t="str">
        <f t="shared" si="6"/>
        <v>$/lb (2016)</v>
      </c>
    </row>
    <row r="443" spans="1:39">
      <c r="A443" s="263" t="s">
        <v>1541</v>
      </c>
      <c r="B443" s="264"/>
      <c r="C443" s="271"/>
      <c r="D443" s="365"/>
      <c r="E443" s="264">
        <v>100</v>
      </c>
      <c r="F443" s="264"/>
      <c r="G443" s="271"/>
      <c r="H443" s="271"/>
      <c r="I443" s="268"/>
      <c r="J443" s="271"/>
      <c r="K443" s="271"/>
      <c r="L443" s="271"/>
      <c r="M443" s="271"/>
      <c r="N443" s="271"/>
      <c r="O443" s="271"/>
      <c r="P443" s="265">
        <v>115</v>
      </c>
      <c r="Q443" s="264">
        <v>1</v>
      </c>
      <c r="R443" s="264" t="s">
        <v>406</v>
      </c>
      <c r="S443" s="264">
        <v>2006</v>
      </c>
      <c r="T443" s="266" t="s">
        <v>163</v>
      </c>
      <c r="U443" s="267">
        <v>42653</v>
      </c>
      <c r="V443" s="269"/>
      <c r="W443" s="366">
        <f>COUNT(RawMaterials[[#This Row],[Lab Quantity 1]:[Lab Quantity 4]])</f>
        <v>0</v>
      </c>
      <c r="X4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3" s="367" t="e">
        <f>RawMaterials[[#This Row],[Lab Price 1]]/RawMaterials[[#This Row],[Lab Q Model Units 1]]</f>
        <v>#N/A</v>
      </c>
      <c r="AC443" s="367" t="e">
        <f>RawMaterials[[#This Row],[Lab Price 2]]/RawMaterials[[#This Row],[Lab Q Model Units 2]]</f>
        <v>#N/A</v>
      </c>
      <c r="AD443" s="367" t="e">
        <f>RawMaterials[[#This Row],[Lab Price 3]]/RawMaterials[[#This Row],[Lab Q Model Units 3]]</f>
        <v>#N/A</v>
      </c>
      <c r="AE443" s="367" t="e">
        <f>RawMaterials[[#This Row],[Lab Price 4]]/RawMaterials[[#This Row],[Lab Q Model Units 4]]</f>
        <v>#N/A</v>
      </c>
      <c r="AF443" s="367" t="str">
        <f ca="1">IF(RawMaterials[[#This Row],[Lab Quote Count]]&gt;1,SLOPE(LOG(INDIRECT("RawMaterials[@[Lab Unit P 1]:[Lab Unit P "&amp;RawMaterials[[#This Row],[Lab Quote Count]]&amp;"]]")),LOG(INDIRECT("RawMaterials[@[Lab Q Model Units 1]:[Lab Q Model Units "&amp;RawMaterials[[#This Row],[Lab Quote Count]]&amp;"]]"))),"")</f>
        <v/>
      </c>
      <c r="AG443" s="367" t="str">
        <f ca="1">IF(RawMaterials[[#This Row],[Lab Quote Count]]&gt;1,INTERCEPT(LOG(INDIRECT("RawMaterials[@[Lab Unit P 1]:[Lab Unit P "&amp;RawMaterials[[#This Row],[Lab Quote Count]]&amp;"]]")),LOG(INDIRECT("RawMaterials[@[Lab Q Model Units 1]:[Lab Q Model Units "&amp;RawMaterials[[#This Row],[Lab Quote Count]]&amp;"]]"))),"")</f>
        <v/>
      </c>
      <c r="AH443" s="368" t="str">
        <f>IF(RawMaterials[[#This Row],[Material Type]]="Metal Precursor","D13",IF(RawMaterials[[#This Row],[Material Type]]="Ligand","D13","D12"))</f>
        <v>D12</v>
      </c>
      <c r="AI443" s="369" t="str">
        <f ca="1">IF(RawMaterials[[#This Row],[Lab Quote Count]]&gt;1,10^RawMaterials[[#This Row],[Lab Log-Log Intercept]]*INDIRECT(RawMaterials[[#This Row],[Basis Cell]])^RawMaterials[[#This Row],[Lab Log-Log Slope]],"&gt;&gt;&gt; Enter 2 or more lab quotes &lt;&lt;&lt;")</f>
        <v>&gt;&gt;&gt; Enter 2 or more lab quotes &lt;&lt;&lt;</v>
      </c>
      <c r="AJ4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5.7500000000000002E-2</v>
      </c>
      <c r="AL443" s="372">
        <f>IF(ISTEXT(RawMaterials[[#This Row],[Unit price in quote year]]),"Check calcs",RawMaterials[[#This Row],[Unit price in quote year]]/VLOOKUP(RawMaterials[[#This Row],[Quote Year]],ChemPPI[],14,FALSE)*VLOOKUP(BasisYear,ChemPPI[],14,FALSE))</f>
        <v>7.8039888211382136E-2</v>
      </c>
      <c r="AM443" s="373" t="str">
        <f t="shared" si="6"/>
        <v>$/lb (2016)</v>
      </c>
    </row>
    <row r="444" spans="1:39">
      <c r="A444" s="263" t="s">
        <v>1542</v>
      </c>
      <c r="B444" s="264"/>
      <c r="C444" s="271"/>
      <c r="D444" s="365"/>
      <c r="E444" s="264">
        <v>100</v>
      </c>
      <c r="F444" s="264"/>
      <c r="G444" s="271"/>
      <c r="H444" s="271"/>
      <c r="I444" s="268"/>
      <c r="J444" s="271"/>
      <c r="K444" s="271"/>
      <c r="L444" s="271"/>
      <c r="M444" s="271"/>
      <c r="N444" s="271"/>
      <c r="O444" s="271"/>
      <c r="P444" s="265">
        <v>0.54</v>
      </c>
      <c r="Q444" s="264">
        <v>1</v>
      </c>
      <c r="R444" s="264" t="s">
        <v>20</v>
      </c>
      <c r="S444" s="264">
        <v>2006</v>
      </c>
      <c r="T444" s="266" t="s">
        <v>163</v>
      </c>
      <c r="U444" s="267">
        <v>42653</v>
      </c>
      <c r="V444" s="269"/>
      <c r="W444" s="366">
        <f>COUNT(RawMaterials[[#This Row],[Lab Quantity 1]:[Lab Quantity 4]])</f>
        <v>0</v>
      </c>
      <c r="X4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4" s="367" t="e">
        <f>RawMaterials[[#This Row],[Lab Price 1]]/RawMaterials[[#This Row],[Lab Q Model Units 1]]</f>
        <v>#N/A</v>
      </c>
      <c r="AC444" s="367" t="e">
        <f>RawMaterials[[#This Row],[Lab Price 2]]/RawMaterials[[#This Row],[Lab Q Model Units 2]]</f>
        <v>#N/A</v>
      </c>
      <c r="AD444" s="367" t="e">
        <f>RawMaterials[[#This Row],[Lab Price 3]]/RawMaterials[[#This Row],[Lab Q Model Units 3]]</f>
        <v>#N/A</v>
      </c>
      <c r="AE444" s="367" t="e">
        <f>RawMaterials[[#This Row],[Lab Price 4]]/RawMaterials[[#This Row],[Lab Q Model Units 4]]</f>
        <v>#N/A</v>
      </c>
      <c r="AF444" s="367" t="str">
        <f ca="1">IF(RawMaterials[[#This Row],[Lab Quote Count]]&gt;1,SLOPE(LOG(INDIRECT("RawMaterials[@[Lab Unit P 1]:[Lab Unit P "&amp;RawMaterials[[#This Row],[Lab Quote Count]]&amp;"]]")),LOG(INDIRECT("RawMaterials[@[Lab Q Model Units 1]:[Lab Q Model Units "&amp;RawMaterials[[#This Row],[Lab Quote Count]]&amp;"]]"))),"")</f>
        <v/>
      </c>
      <c r="AG444" s="367" t="str">
        <f ca="1">IF(RawMaterials[[#This Row],[Lab Quote Count]]&gt;1,INTERCEPT(LOG(INDIRECT("RawMaterials[@[Lab Unit P 1]:[Lab Unit P "&amp;RawMaterials[[#This Row],[Lab Quote Count]]&amp;"]]")),LOG(INDIRECT("RawMaterials[@[Lab Q Model Units 1]:[Lab Q Model Units "&amp;RawMaterials[[#This Row],[Lab Quote Count]]&amp;"]]"))),"")</f>
        <v/>
      </c>
      <c r="AH444" s="368" t="str">
        <f>IF(RawMaterials[[#This Row],[Material Type]]="Metal Precursor","D13",IF(RawMaterials[[#This Row],[Material Type]]="Ligand","D13","D12"))</f>
        <v>D12</v>
      </c>
      <c r="AI444" s="369" t="str">
        <f ca="1">IF(RawMaterials[[#This Row],[Lab Quote Count]]&gt;1,10^RawMaterials[[#This Row],[Lab Log-Log Intercept]]*INDIRECT(RawMaterials[[#This Row],[Basis Cell]])^RawMaterials[[#This Row],[Lab Log-Log Slope]],"&gt;&gt;&gt; Enter 2 or more lab quotes &lt;&lt;&lt;")</f>
        <v>&gt;&gt;&gt; Enter 2 or more lab quotes &lt;&lt;&lt;</v>
      </c>
      <c r="AJ4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4" s="372">
        <f>IF(ISTEXT(RawMaterials[[#This Row],[Unit price in quote year]]),"Check calcs",RawMaterials[[#This Row],[Unit price in quote year]]/VLOOKUP(RawMaterials[[#This Row],[Quote Year]],ChemPPI[],14,FALSE)*VLOOKUP(BasisYear,ChemPPI[],14,FALSE))</f>
        <v>0.73289634146341476</v>
      </c>
      <c r="AM444" s="373" t="str">
        <f t="shared" si="6"/>
        <v>$/lb (2016)</v>
      </c>
    </row>
    <row r="445" spans="1:39">
      <c r="A445" s="263" t="s">
        <v>1543</v>
      </c>
      <c r="B445" s="264"/>
      <c r="C445" s="271"/>
      <c r="D445" s="365"/>
      <c r="E445" s="264">
        <v>100</v>
      </c>
      <c r="F445" s="264"/>
      <c r="G445" s="271"/>
      <c r="H445" s="271"/>
      <c r="I445" s="268"/>
      <c r="J445" s="271"/>
      <c r="K445" s="271"/>
      <c r="L445" s="271"/>
      <c r="M445" s="271"/>
      <c r="N445" s="271"/>
      <c r="O445" s="271"/>
      <c r="P445" s="265">
        <v>0.54</v>
      </c>
      <c r="Q445" s="264">
        <v>1</v>
      </c>
      <c r="R445" s="264" t="s">
        <v>20</v>
      </c>
      <c r="S445" s="264">
        <v>2006</v>
      </c>
      <c r="T445" s="266" t="s">
        <v>163</v>
      </c>
      <c r="U445" s="267">
        <v>42653</v>
      </c>
      <c r="V445" s="269"/>
      <c r="W445" s="366">
        <f>COUNT(RawMaterials[[#This Row],[Lab Quantity 1]:[Lab Quantity 4]])</f>
        <v>0</v>
      </c>
      <c r="X4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5" s="367" t="e">
        <f>RawMaterials[[#This Row],[Lab Price 1]]/RawMaterials[[#This Row],[Lab Q Model Units 1]]</f>
        <v>#N/A</v>
      </c>
      <c r="AC445" s="367" t="e">
        <f>RawMaterials[[#This Row],[Lab Price 2]]/RawMaterials[[#This Row],[Lab Q Model Units 2]]</f>
        <v>#N/A</v>
      </c>
      <c r="AD445" s="367" t="e">
        <f>RawMaterials[[#This Row],[Lab Price 3]]/RawMaterials[[#This Row],[Lab Q Model Units 3]]</f>
        <v>#N/A</v>
      </c>
      <c r="AE445" s="367" t="e">
        <f>RawMaterials[[#This Row],[Lab Price 4]]/RawMaterials[[#This Row],[Lab Q Model Units 4]]</f>
        <v>#N/A</v>
      </c>
      <c r="AF445" s="367" t="str">
        <f ca="1">IF(RawMaterials[[#This Row],[Lab Quote Count]]&gt;1,SLOPE(LOG(INDIRECT("RawMaterials[@[Lab Unit P 1]:[Lab Unit P "&amp;RawMaterials[[#This Row],[Lab Quote Count]]&amp;"]]")),LOG(INDIRECT("RawMaterials[@[Lab Q Model Units 1]:[Lab Q Model Units "&amp;RawMaterials[[#This Row],[Lab Quote Count]]&amp;"]]"))),"")</f>
        <v/>
      </c>
      <c r="AG445" s="367" t="str">
        <f ca="1">IF(RawMaterials[[#This Row],[Lab Quote Count]]&gt;1,INTERCEPT(LOG(INDIRECT("RawMaterials[@[Lab Unit P 1]:[Lab Unit P "&amp;RawMaterials[[#This Row],[Lab Quote Count]]&amp;"]]")),LOG(INDIRECT("RawMaterials[@[Lab Q Model Units 1]:[Lab Q Model Units "&amp;RawMaterials[[#This Row],[Lab Quote Count]]&amp;"]]"))),"")</f>
        <v/>
      </c>
      <c r="AH445" s="368" t="str">
        <f>IF(RawMaterials[[#This Row],[Material Type]]="Metal Precursor","D13",IF(RawMaterials[[#This Row],[Material Type]]="Ligand","D13","D12"))</f>
        <v>D12</v>
      </c>
      <c r="AI445" s="369" t="str">
        <f ca="1">IF(RawMaterials[[#This Row],[Lab Quote Count]]&gt;1,10^RawMaterials[[#This Row],[Lab Log-Log Intercept]]*INDIRECT(RawMaterials[[#This Row],[Basis Cell]])^RawMaterials[[#This Row],[Lab Log-Log Slope]],"&gt;&gt;&gt; Enter 2 or more lab quotes &lt;&lt;&lt;")</f>
        <v>&gt;&gt;&gt; Enter 2 or more lab quotes &lt;&lt;&lt;</v>
      </c>
      <c r="AJ4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445" s="372">
        <f>IF(ISTEXT(RawMaterials[[#This Row],[Unit price in quote year]]),"Check calcs",RawMaterials[[#This Row],[Unit price in quote year]]/VLOOKUP(RawMaterials[[#This Row],[Quote Year]],ChemPPI[],14,FALSE)*VLOOKUP(BasisYear,ChemPPI[],14,FALSE))</f>
        <v>0.73289634146341476</v>
      </c>
      <c r="AM445" s="373" t="str">
        <f t="shared" si="6"/>
        <v>$/lb (2016)</v>
      </c>
    </row>
    <row r="446" spans="1:39">
      <c r="A446" s="263" t="s">
        <v>1544</v>
      </c>
      <c r="B446" s="264"/>
      <c r="C446" s="271"/>
      <c r="D446" s="365"/>
      <c r="E446" s="264">
        <v>100</v>
      </c>
      <c r="F446" s="264"/>
      <c r="G446" s="271"/>
      <c r="H446" s="271"/>
      <c r="I446" s="268"/>
      <c r="J446" s="271"/>
      <c r="K446" s="271"/>
      <c r="L446" s="271"/>
      <c r="M446" s="271"/>
      <c r="N446" s="271"/>
      <c r="O446" s="271"/>
      <c r="P446" s="265">
        <v>0.56000000000000005</v>
      </c>
      <c r="Q446" s="264">
        <v>1</v>
      </c>
      <c r="R446" s="264" t="s">
        <v>20</v>
      </c>
      <c r="S446" s="264">
        <v>2006</v>
      </c>
      <c r="T446" s="266" t="s">
        <v>163</v>
      </c>
      <c r="U446" s="267">
        <v>42653</v>
      </c>
      <c r="V446" s="269"/>
      <c r="W446" s="366">
        <f>COUNT(RawMaterials[[#This Row],[Lab Quantity 1]:[Lab Quantity 4]])</f>
        <v>0</v>
      </c>
      <c r="X4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6" s="367" t="e">
        <f>RawMaterials[[#This Row],[Lab Price 1]]/RawMaterials[[#This Row],[Lab Q Model Units 1]]</f>
        <v>#N/A</v>
      </c>
      <c r="AC446" s="367" t="e">
        <f>RawMaterials[[#This Row],[Lab Price 2]]/RawMaterials[[#This Row],[Lab Q Model Units 2]]</f>
        <v>#N/A</v>
      </c>
      <c r="AD446" s="367" t="e">
        <f>RawMaterials[[#This Row],[Lab Price 3]]/RawMaterials[[#This Row],[Lab Q Model Units 3]]</f>
        <v>#N/A</v>
      </c>
      <c r="AE446" s="367" t="e">
        <f>RawMaterials[[#This Row],[Lab Price 4]]/RawMaterials[[#This Row],[Lab Q Model Units 4]]</f>
        <v>#N/A</v>
      </c>
      <c r="AF446" s="367" t="str">
        <f ca="1">IF(RawMaterials[[#This Row],[Lab Quote Count]]&gt;1,SLOPE(LOG(INDIRECT("RawMaterials[@[Lab Unit P 1]:[Lab Unit P "&amp;RawMaterials[[#This Row],[Lab Quote Count]]&amp;"]]")),LOG(INDIRECT("RawMaterials[@[Lab Q Model Units 1]:[Lab Q Model Units "&amp;RawMaterials[[#This Row],[Lab Quote Count]]&amp;"]]"))),"")</f>
        <v/>
      </c>
      <c r="AG446" s="367" t="str">
        <f ca="1">IF(RawMaterials[[#This Row],[Lab Quote Count]]&gt;1,INTERCEPT(LOG(INDIRECT("RawMaterials[@[Lab Unit P 1]:[Lab Unit P "&amp;RawMaterials[[#This Row],[Lab Quote Count]]&amp;"]]")),LOG(INDIRECT("RawMaterials[@[Lab Q Model Units 1]:[Lab Q Model Units "&amp;RawMaterials[[#This Row],[Lab Quote Count]]&amp;"]]"))),"")</f>
        <v/>
      </c>
      <c r="AH446" s="368" t="str">
        <f>IF(RawMaterials[[#This Row],[Material Type]]="Metal Precursor","D13",IF(RawMaterials[[#This Row],[Material Type]]="Ligand","D13","D12"))</f>
        <v>D12</v>
      </c>
      <c r="AI446" s="369" t="str">
        <f ca="1">IF(RawMaterials[[#This Row],[Lab Quote Count]]&gt;1,10^RawMaterials[[#This Row],[Lab Log-Log Intercept]]*INDIRECT(RawMaterials[[#This Row],[Basis Cell]])^RawMaterials[[#This Row],[Lab Log-Log Slope]],"&gt;&gt;&gt; Enter 2 or more lab quotes &lt;&lt;&lt;")</f>
        <v>&gt;&gt;&gt; Enter 2 or more lab quotes &lt;&lt;&lt;</v>
      </c>
      <c r="AJ4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446" s="372">
        <f>IF(ISTEXT(RawMaterials[[#This Row],[Unit price in quote year]]),"Check calcs",RawMaterials[[#This Row],[Unit price in quote year]]/VLOOKUP(RawMaterials[[#This Row],[Quote Year]],ChemPPI[],14,FALSE)*VLOOKUP(BasisYear,ChemPPI[],14,FALSE))</f>
        <v>0.76004065040650426</v>
      </c>
      <c r="AM446" s="373" t="str">
        <f t="shared" si="6"/>
        <v>$/lb (2016)</v>
      </c>
    </row>
    <row r="447" spans="1:39">
      <c r="A447" s="263" t="s">
        <v>1545</v>
      </c>
      <c r="B447" s="264"/>
      <c r="C447" s="271"/>
      <c r="D447" s="365"/>
      <c r="E447" s="264">
        <v>100</v>
      </c>
      <c r="F447" s="264"/>
      <c r="G447" s="271"/>
      <c r="H447" s="271"/>
      <c r="I447" s="268"/>
      <c r="J447" s="271"/>
      <c r="K447" s="271"/>
      <c r="L447" s="271"/>
      <c r="M447" s="271"/>
      <c r="N447" s="271"/>
      <c r="O447" s="271"/>
      <c r="P447" s="265">
        <v>2.06</v>
      </c>
      <c r="Q447" s="264">
        <v>1</v>
      </c>
      <c r="R447" s="264" t="s">
        <v>20</v>
      </c>
      <c r="S447" s="264">
        <v>2006</v>
      </c>
      <c r="T447" s="266" t="s">
        <v>163</v>
      </c>
      <c r="U447" s="267">
        <v>42653</v>
      </c>
      <c r="V447" s="269"/>
      <c r="W447" s="366">
        <f>COUNT(RawMaterials[[#This Row],[Lab Quantity 1]:[Lab Quantity 4]])</f>
        <v>0</v>
      </c>
      <c r="X4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7" s="367" t="e">
        <f>RawMaterials[[#This Row],[Lab Price 1]]/RawMaterials[[#This Row],[Lab Q Model Units 1]]</f>
        <v>#N/A</v>
      </c>
      <c r="AC447" s="367" t="e">
        <f>RawMaterials[[#This Row],[Lab Price 2]]/RawMaterials[[#This Row],[Lab Q Model Units 2]]</f>
        <v>#N/A</v>
      </c>
      <c r="AD447" s="367" t="e">
        <f>RawMaterials[[#This Row],[Lab Price 3]]/RawMaterials[[#This Row],[Lab Q Model Units 3]]</f>
        <v>#N/A</v>
      </c>
      <c r="AE447" s="367" t="e">
        <f>RawMaterials[[#This Row],[Lab Price 4]]/RawMaterials[[#This Row],[Lab Q Model Units 4]]</f>
        <v>#N/A</v>
      </c>
      <c r="AF447" s="367" t="str">
        <f ca="1">IF(RawMaterials[[#This Row],[Lab Quote Count]]&gt;1,SLOPE(LOG(INDIRECT("RawMaterials[@[Lab Unit P 1]:[Lab Unit P "&amp;RawMaterials[[#This Row],[Lab Quote Count]]&amp;"]]")),LOG(INDIRECT("RawMaterials[@[Lab Q Model Units 1]:[Lab Q Model Units "&amp;RawMaterials[[#This Row],[Lab Quote Count]]&amp;"]]"))),"")</f>
        <v/>
      </c>
      <c r="AG447" s="367" t="str">
        <f ca="1">IF(RawMaterials[[#This Row],[Lab Quote Count]]&gt;1,INTERCEPT(LOG(INDIRECT("RawMaterials[@[Lab Unit P 1]:[Lab Unit P "&amp;RawMaterials[[#This Row],[Lab Quote Count]]&amp;"]]")),LOG(INDIRECT("RawMaterials[@[Lab Q Model Units 1]:[Lab Q Model Units "&amp;RawMaterials[[#This Row],[Lab Quote Count]]&amp;"]]"))),"")</f>
        <v/>
      </c>
      <c r="AH447" s="368" t="str">
        <f>IF(RawMaterials[[#This Row],[Material Type]]="Metal Precursor","D13",IF(RawMaterials[[#This Row],[Material Type]]="Ligand","D13","D12"))</f>
        <v>D12</v>
      </c>
      <c r="AI447" s="369" t="str">
        <f ca="1">IF(RawMaterials[[#This Row],[Lab Quote Count]]&gt;1,10^RawMaterials[[#This Row],[Lab Log-Log Intercept]]*INDIRECT(RawMaterials[[#This Row],[Basis Cell]])^RawMaterials[[#This Row],[Lab Log-Log Slope]],"&gt;&gt;&gt; Enter 2 or more lab quotes &lt;&lt;&lt;")</f>
        <v>&gt;&gt;&gt; Enter 2 or more lab quotes &lt;&lt;&lt;</v>
      </c>
      <c r="AJ4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2.06</v>
      </c>
      <c r="AL447" s="372">
        <f>IF(ISTEXT(RawMaterials[[#This Row],[Unit price in quote year]]),"Check calcs",RawMaterials[[#This Row],[Unit price in quote year]]/VLOOKUP(RawMaterials[[#This Row],[Quote Year]],ChemPPI[],14,FALSE)*VLOOKUP(BasisYear,ChemPPI[],14,FALSE))</f>
        <v>2.7958638211382123</v>
      </c>
      <c r="AM447" s="373" t="str">
        <f t="shared" si="6"/>
        <v>$/lb (2016)</v>
      </c>
    </row>
    <row r="448" spans="1:39">
      <c r="A448" s="263" t="s">
        <v>1546</v>
      </c>
      <c r="B448" s="264"/>
      <c r="C448" s="271"/>
      <c r="D448" s="365"/>
      <c r="E448" s="264">
        <v>100</v>
      </c>
      <c r="F448" s="264"/>
      <c r="G448" s="271"/>
      <c r="H448" s="271"/>
      <c r="I448" s="268"/>
      <c r="J448" s="271"/>
      <c r="K448" s="271"/>
      <c r="L448" s="271"/>
      <c r="M448" s="271"/>
      <c r="N448" s="271"/>
      <c r="O448" s="271"/>
      <c r="P448" s="265">
        <v>2</v>
      </c>
      <c r="Q448" s="264">
        <v>1</v>
      </c>
      <c r="R448" s="264" t="s">
        <v>20</v>
      </c>
      <c r="S448" s="264">
        <v>2006</v>
      </c>
      <c r="T448" s="266" t="s">
        <v>163</v>
      </c>
      <c r="U448" s="267">
        <v>42653</v>
      </c>
      <c r="V448" s="269"/>
      <c r="W448" s="366">
        <f>COUNT(RawMaterials[[#This Row],[Lab Quantity 1]:[Lab Quantity 4]])</f>
        <v>0</v>
      </c>
      <c r="X4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8" s="367" t="e">
        <f>RawMaterials[[#This Row],[Lab Price 1]]/RawMaterials[[#This Row],[Lab Q Model Units 1]]</f>
        <v>#N/A</v>
      </c>
      <c r="AC448" s="367" t="e">
        <f>RawMaterials[[#This Row],[Lab Price 2]]/RawMaterials[[#This Row],[Lab Q Model Units 2]]</f>
        <v>#N/A</v>
      </c>
      <c r="AD448" s="367" t="e">
        <f>RawMaterials[[#This Row],[Lab Price 3]]/RawMaterials[[#This Row],[Lab Q Model Units 3]]</f>
        <v>#N/A</v>
      </c>
      <c r="AE448" s="367" t="e">
        <f>RawMaterials[[#This Row],[Lab Price 4]]/RawMaterials[[#This Row],[Lab Q Model Units 4]]</f>
        <v>#N/A</v>
      </c>
      <c r="AF448" s="367" t="str">
        <f ca="1">IF(RawMaterials[[#This Row],[Lab Quote Count]]&gt;1,SLOPE(LOG(INDIRECT("RawMaterials[@[Lab Unit P 1]:[Lab Unit P "&amp;RawMaterials[[#This Row],[Lab Quote Count]]&amp;"]]")),LOG(INDIRECT("RawMaterials[@[Lab Q Model Units 1]:[Lab Q Model Units "&amp;RawMaterials[[#This Row],[Lab Quote Count]]&amp;"]]"))),"")</f>
        <v/>
      </c>
      <c r="AG448" s="367" t="str">
        <f ca="1">IF(RawMaterials[[#This Row],[Lab Quote Count]]&gt;1,INTERCEPT(LOG(INDIRECT("RawMaterials[@[Lab Unit P 1]:[Lab Unit P "&amp;RawMaterials[[#This Row],[Lab Quote Count]]&amp;"]]")),LOG(INDIRECT("RawMaterials[@[Lab Q Model Units 1]:[Lab Q Model Units "&amp;RawMaterials[[#This Row],[Lab Quote Count]]&amp;"]]"))),"")</f>
        <v/>
      </c>
      <c r="AH448" s="368" t="str">
        <f>IF(RawMaterials[[#This Row],[Material Type]]="Metal Precursor","D13",IF(RawMaterials[[#This Row],[Material Type]]="Ligand","D13","D12"))</f>
        <v>D12</v>
      </c>
      <c r="AI448" s="369" t="str">
        <f ca="1">IF(RawMaterials[[#This Row],[Lab Quote Count]]&gt;1,10^RawMaterials[[#This Row],[Lab Log-Log Intercept]]*INDIRECT(RawMaterials[[#This Row],[Basis Cell]])^RawMaterials[[#This Row],[Lab Log-Log Slope]],"&gt;&gt;&gt; Enter 2 or more lab quotes &lt;&lt;&lt;")</f>
        <v>&gt;&gt;&gt; Enter 2 or more lab quotes &lt;&lt;&lt;</v>
      </c>
      <c r="AJ4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v>
      </c>
      <c r="AL448" s="372">
        <f>IF(ISTEXT(RawMaterials[[#This Row],[Unit price in quote year]]),"Check calcs",RawMaterials[[#This Row],[Unit price in quote year]]/VLOOKUP(RawMaterials[[#This Row],[Quote Year]],ChemPPI[],14,FALSE)*VLOOKUP(BasisYear,ChemPPI[],14,FALSE))</f>
        <v>2.7144308943089439</v>
      </c>
      <c r="AM448" s="373" t="str">
        <f t="shared" si="6"/>
        <v>$/lb (2016)</v>
      </c>
    </row>
    <row r="449" spans="1:39">
      <c r="A449" s="263" t="s">
        <v>1547</v>
      </c>
      <c r="B449" s="264"/>
      <c r="C449" s="271"/>
      <c r="D449" s="365"/>
      <c r="E449" s="264">
        <v>100</v>
      </c>
      <c r="F449" s="264"/>
      <c r="G449" s="271"/>
      <c r="H449" s="271"/>
      <c r="I449" s="268"/>
      <c r="J449" s="271"/>
      <c r="K449" s="271"/>
      <c r="L449" s="271"/>
      <c r="M449" s="271"/>
      <c r="N449" s="271"/>
      <c r="O449" s="271"/>
      <c r="P449" s="265">
        <v>1.8</v>
      </c>
      <c r="Q449" s="264">
        <v>1</v>
      </c>
      <c r="R449" s="264" t="s">
        <v>20</v>
      </c>
      <c r="S449" s="264">
        <v>2006</v>
      </c>
      <c r="T449" s="266" t="s">
        <v>163</v>
      </c>
      <c r="U449" s="267">
        <v>42653</v>
      </c>
      <c r="V449" s="269"/>
      <c r="W449" s="366">
        <f>COUNT(RawMaterials[[#This Row],[Lab Quantity 1]:[Lab Quantity 4]])</f>
        <v>0</v>
      </c>
      <c r="X4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49" s="367" t="e">
        <f>RawMaterials[[#This Row],[Lab Price 1]]/RawMaterials[[#This Row],[Lab Q Model Units 1]]</f>
        <v>#N/A</v>
      </c>
      <c r="AC449" s="367" t="e">
        <f>RawMaterials[[#This Row],[Lab Price 2]]/RawMaterials[[#This Row],[Lab Q Model Units 2]]</f>
        <v>#N/A</v>
      </c>
      <c r="AD449" s="367" t="e">
        <f>RawMaterials[[#This Row],[Lab Price 3]]/RawMaterials[[#This Row],[Lab Q Model Units 3]]</f>
        <v>#N/A</v>
      </c>
      <c r="AE449" s="367" t="e">
        <f>RawMaterials[[#This Row],[Lab Price 4]]/RawMaterials[[#This Row],[Lab Q Model Units 4]]</f>
        <v>#N/A</v>
      </c>
      <c r="AF449" s="367" t="str">
        <f ca="1">IF(RawMaterials[[#This Row],[Lab Quote Count]]&gt;1,SLOPE(LOG(INDIRECT("RawMaterials[@[Lab Unit P 1]:[Lab Unit P "&amp;RawMaterials[[#This Row],[Lab Quote Count]]&amp;"]]")),LOG(INDIRECT("RawMaterials[@[Lab Q Model Units 1]:[Lab Q Model Units "&amp;RawMaterials[[#This Row],[Lab Quote Count]]&amp;"]]"))),"")</f>
        <v/>
      </c>
      <c r="AG449" s="367" t="str">
        <f ca="1">IF(RawMaterials[[#This Row],[Lab Quote Count]]&gt;1,INTERCEPT(LOG(INDIRECT("RawMaterials[@[Lab Unit P 1]:[Lab Unit P "&amp;RawMaterials[[#This Row],[Lab Quote Count]]&amp;"]]")),LOG(INDIRECT("RawMaterials[@[Lab Q Model Units 1]:[Lab Q Model Units "&amp;RawMaterials[[#This Row],[Lab Quote Count]]&amp;"]]"))),"")</f>
        <v/>
      </c>
      <c r="AH449" s="368" t="str">
        <f>IF(RawMaterials[[#This Row],[Material Type]]="Metal Precursor","D13",IF(RawMaterials[[#This Row],[Material Type]]="Ligand","D13","D12"))</f>
        <v>D12</v>
      </c>
      <c r="AI449" s="369" t="str">
        <f ca="1">IF(RawMaterials[[#This Row],[Lab Quote Count]]&gt;1,10^RawMaterials[[#This Row],[Lab Log-Log Intercept]]*INDIRECT(RawMaterials[[#This Row],[Basis Cell]])^RawMaterials[[#This Row],[Lab Log-Log Slope]],"&gt;&gt;&gt; Enter 2 or more lab quotes &lt;&lt;&lt;")</f>
        <v>&gt;&gt;&gt; Enter 2 or more lab quotes &lt;&lt;&lt;</v>
      </c>
      <c r="AJ4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v>
      </c>
      <c r="AL449" s="372">
        <f>IF(ISTEXT(RawMaterials[[#This Row],[Unit price in quote year]]),"Check calcs",RawMaterials[[#This Row],[Unit price in quote year]]/VLOOKUP(RawMaterials[[#This Row],[Quote Year]],ChemPPI[],14,FALSE)*VLOOKUP(BasisYear,ChemPPI[],14,FALSE))</f>
        <v>2.4429878048780491</v>
      </c>
      <c r="AM449" s="373" t="str">
        <f t="shared" si="6"/>
        <v>$/lb (2016)</v>
      </c>
    </row>
    <row r="450" spans="1:39">
      <c r="A450" s="263" t="s">
        <v>1548</v>
      </c>
      <c r="B450" s="264"/>
      <c r="C450" s="271"/>
      <c r="D450" s="365"/>
      <c r="E450" s="264">
        <v>100</v>
      </c>
      <c r="F450" s="264"/>
      <c r="G450" s="271"/>
      <c r="H450" s="271"/>
      <c r="I450" s="268"/>
      <c r="J450" s="271"/>
      <c r="K450" s="271"/>
      <c r="L450" s="271"/>
      <c r="M450" s="271"/>
      <c r="N450" s="271"/>
      <c r="O450" s="271"/>
      <c r="P450" s="265">
        <v>1.95</v>
      </c>
      <c r="Q450" s="264">
        <v>1</v>
      </c>
      <c r="R450" s="264" t="s">
        <v>20</v>
      </c>
      <c r="S450" s="264">
        <v>2006</v>
      </c>
      <c r="T450" s="266" t="s">
        <v>163</v>
      </c>
      <c r="U450" s="267">
        <v>42653</v>
      </c>
      <c r="V450" s="269"/>
      <c r="W450" s="366">
        <f>COUNT(RawMaterials[[#This Row],[Lab Quantity 1]:[Lab Quantity 4]])</f>
        <v>0</v>
      </c>
      <c r="X4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0" s="367" t="e">
        <f>RawMaterials[[#This Row],[Lab Price 1]]/RawMaterials[[#This Row],[Lab Q Model Units 1]]</f>
        <v>#N/A</v>
      </c>
      <c r="AC450" s="367" t="e">
        <f>RawMaterials[[#This Row],[Lab Price 2]]/RawMaterials[[#This Row],[Lab Q Model Units 2]]</f>
        <v>#N/A</v>
      </c>
      <c r="AD450" s="367" t="e">
        <f>RawMaterials[[#This Row],[Lab Price 3]]/RawMaterials[[#This Row],[Lab Q Model Units 3]]</f>
        <v>#N/A</v>
      </c>
      <c r="AE450" s="367" t="e">
        <f>RawMaterials[[#This Row],[Lab Price 4]]/RawMaterials[[#This Row],[Lab Q Model Units 4]]</f>
        <v>#N/A</v>
      </c>
      <c r="AF450" s="367" t="str">
        <f ca="1">IF(RawMaterials[[#This Row],[Lab Quote Count]]&gt;1,SLOPE(LOG(INDIRECT("RawMaterials[@[Lab Unit P 1]:[Lab Unit P "&amp;RawMaterials[[#This Row],[Lab Quote Count]]&amp;"]]")),LOG(INDIRECT("RawMaterials[@[Lab Q Model Units 1]:[Lab Q Model Units "&amp;RawMaterials[[#This Row],[Lab Quote Count]]&amp;"]]"))),"")</f>
        <v/>
      </c>
      <c r="AG450" s="367" t="str">
        <f ca="1">IF(RawMaterials[[#This Row],[Lab Quote Count]]&gt;1,INTERCEPT(LOG(INDIRECT("RawMaterials[@[Lab Unit P 1]:[Lab Unit P "&amp;RawMaterials[[#This Row],[Lab Quote Count]]&amp;"]]")),LOG(INDIRECT("RawMaterials[@[Lab Q Model Units 1]:[Lab Q Model Units "&amp;RawMaterials[[#This Row],[Lab Quote Count]]&amp;"]]"))),"")</f>
        <v/>
      </c>
      <c r="AH450" s="368" t="str">
        <f>IF(RawMaterials[[#This Row],[Material Type]]="Metal Precursor","D13",IF(RawMaterials[[#This Row],[Material Type]]="Ligand","D13","D12"))</f>
        <v>D12</v>
      </c>
      <c r="AI450" s="369" t="str">
        <f ca="1">IF(RawMaterials[[#This Row],[Lab Quote Count]]&gt;1,10^RawMaterials[[#This Row],[Lab Log-Log Intercept]]*INDIRECT(RawMaterials[[#This Row],[Basis Cell]])^RawMaterials[[#This Row],[Lab Log-Log Slope]],"&gt;&gt;&gt; Enter 2 or more lab quotes &lt;&lt;&lt;")</f>
        <v>&gt;&gt;&gt; Enter 2 or more lab quotes &lt;&lt;&lt;</v>
      </c>
      <c r="AJ4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v>
      </c>
      <c r="AL450" s="372">
        <f>IF(ISTEXT(RawMaterials[[#This Row],[Unit price in quote year]]),"Check calcs",RawMaterials[[#This Row],[Unit price in quote year]]/VLOOKUP(RawMaterials[[#This Row],[Quote Year]],ChemPPI[],14,FALSE)*VLOOKUP(BasisYear,ChemPPI[],14,FALSE))</f>
        <v>2.6465701219512199</v>
      </c>
      <c r="AM450" s="373" t="str">
        <f t="shared" si="6"/>
        <v>$/lb (2016)</v>
      </c>
    </row>
    <row r="451" spans="1:39">
      <c r="A451" s="263" t="s">
        <v>1549</v>
      </c>
      <c r="B451" s="264"/>
      <c r="C451" s="271"/>
      <c r="D451" s="365"/>
      <c r="E451" s="264">
        <v>100</v>
      </c>
      <c r="F451" s="264"/>
      <c r="G451" s="271"/>
      <c r="H451" s="271"/>
      <c r="I451" s="268"/>
      <c r="J451" s="271"/>
      <c r="K451" s="271"/>
      <c r="L451" s="271"/>
      <c r="M451" s="271"/>
      <c r="N451" s="271"/>
      <c r="O451" s="271"/>
      <c r="P451" s="265">
        <v>1.86</v>
      </c>
      <c r="Q451" s="264">
        <v>1</v>
      </c>
      <c r="R451" s="264" t="s">
        <v>71</v>
      </c>
      <c r="S451" s="264">
        <v>2006</v>
      </c>
      <c r="T451" s="266" t="s">
        <v>163</v>
      </c>
      <c r="U451" s="267">
        <v>42653</v>
      </c>
      <c r="V451" s="269"/>
      <c r="W451" s="366">
        <f>COUNT(RawMaterials[[#This Row],[Lab Quantity 1]:[Lab Quantity 4]])</f>
        <v>0</v>
      </c>
      <c r="X4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1" s="367" t="e">
        <f>RawMaterials[[#This Row],[Lab Price 1]]/RawMaterials[[#This Row],[Lab Q Model Units 1]]</f>
        <v>#N/A</v>
      </c>
      <c r="AC451" s="367" t="e">
        <f>RawMaterials[[#This Row],[Lab Price 2]]/RawMaterials[[#This Row],[Lab Q Model Units 2]]</f>
        <v>#N/A</v>
      </c>
      <c r="AD451" s="367" t="e">
        <f>RawMaterials[[#This Row],[Lab Price 3]]/RawMaterials[[#This Row],[Lab Q Model Units 3]]</f>
        <v>#N/A</v>
      </c>
      <c r="AE451" s="367" t="e">
        <f>RawMaterials[[#This Row],[Lab Price 4]]/RawMaterials[[#This Row],[Lab Q Model Units 4]]</f>
        <v>#N/A</v>
      </c>
      <c r="AF451" s="367" t="str">
        <f ca="1">IF(RawMaterials[[#This Row],[Lab Quote Count]]&gt;1,SLOPE(LOG(INDIRECT("RawMaterials[@[Lab Unit P 1]:[Lab Unit P "&amp;RawMaterials[[#This Row],[Lab Quote Count]]&amp;"]]")),LOG(INDIRECT("RawMaterials[@[Lab Q Model Units 1]:[Lab Q Model Units "&amp;RawMaterials[[#This Row],[Lab Quote Count]]&amp;"]]"))),"")</f>
        <v/>
      </c>
      <c r="AG451" s="367" t="str">
        <f ca="1">IF(RawMaterials[[#This Row],[Lab Quote Count]]&gt;1,INTERCEPT(LOG(INDIRECT("RawMaterials[@[Lab Unit P 1]:[Lab Unit P "&amp;RawMaterials[[#This Row],[Lab Quote Count]]&amp;"]]")),LOG(INDIRECT("RawMaterials[@[Lab Q Model Units 1]:[Lab Q Model Units "&amp;RawMaterials[[#This Row],[Lab Quote Count]]&amp;"]]"))),"")</f>
        <v/>
      </c>
      <c r="AH451" s="368" t="str">
        <f>IF(RawMaterials[[#This Row],[Material Type]]="Metal Precursor","D13",IF(RawMaterials[[#This Row],[Material Type]]="Ligand","D13","D12"))</f>
        <v>D12</v>
      </c>
      <c r="AI451" s="369" t="str">
        <f ca="1">IF(RawMaterials[[#This Row],[Lab Quote Count]]&gt;1,10^RawMaterials[[#This Row],[Lab Log-Log Intercept]]*INDIRECT(RawMaterials[[#This Row],[Basis Cell]])^RawMaterials[[#This Row],[Lab Log-Log Slope]],"&gt;&gt;&gt; Enter 2 or more lab quotes &lt;&lt;&lt;")</f>
        <v>&gt;&gt;&gt; Enter 2 or more lab quotes &lt;&lt;&lt;</v>
      </c>
      <c r="AJ4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0.84368180820000005</v>
      </c>
      <c r="AL451" s="372">
        <f>IF(ISTEXT(RawMaterials[[#This Row],[Unit price in quote year]]),"Check calcs",RawMaterials[[#This Row],[Unit price in quote year]]/VLOOKUP(RawMaterials[[#This Row],[Quote Year]],ChemPPI[],14,FALSE)*VLOOKUP(BasisYear,ChemPPI[],14,FALSE))</f>
        <v>1.1450579825722562</v>
      </c>
      <c r="AM451" s="373" t="str">
        <f t="shared" si="6"/>
        <v>$/lb (2016)</v>
      </c>
    </row>
    <row r="452" spans="1:39">
      <c r="A452" s="263" t="s">
        <v>1550</v>
      </c>
      <c r="B452" s="264"/>
      <c r="C452" s="271"/>
      <c r="D452" s="365"/>
      <c r="E452" s="264">
        <v>100</v>
      </c>
      <c r="F452" s="264"/>
      <c r="G452" s="271"/>
      <c r="H452" s="271"/>
      <c r="I452" s="268"/>
      <c r="J452" s="271"/>
      <c r="K452" s="271"/>
      <c r="L452" s="271"/>
      <c r="M452" s="271"/>
      <c r="N452" s="271"/>
      <c r="O452" s="271"/>
      <c r="P452" s="265">
        <v>1.2</v>
      </c>
      <c r="Q452" s="264">
        <v>1</v>
      </c>
      <c r="R452" s="264" t="s">
        <v>20</v>
      </c>
      <c r="S452" s="264">
        <v>2006</v>
      </c>
      <c r="T452" s="266" t="s">
        <v>163</v>
      </c>
      <c r="U452" s="267">
        <v>42653</v>
      </c>
      <c r="V452" s="269"/>
      <c r="W452" s="366">
        <f>COUNT(RawMaterials[[#This Row],[Lab Quantity 1]:[Lab Quantity 4]])</f>
        <v>0</v>
      </c>
      <c r="X4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2" s="367" t="e">
        <f>RawMaterials[[#This Row],[Lab Price 1]]/RawMaterials[[#This Row],[Lab Q Model Units 1]]</f>
        <v>#N/A</v>
      </c>
      <c r="AC452" s="367" t="e">
        <f>RawMaterials[[#This Row],[Lab Price 2]]/RawMaterials[[#This Row],[Lab Q Model Units 2]]</f>
        <v>#N/A</v>
      </c>
      <c r="AD452" s="367" t="e">
        <f>RawMaterials[[#This Row],[Lab Price 3]]/RawMaterials[[#This Row],[Lab Q Model Units 3]]</f>
        <v>#N/A</v>
      </c>
      <c r="AE452" s="367" t="e">
        <f>RawMaterials[[#This Row],[Lab Price 4]]/RawMaterials[[#This Row],[Lab Q Model Units 4]]</f>
        <v>#N/A</v>
      </c>
      <c r="AF452" s="367" t="str">
        <f ca="1">IF(RawMaterials[[#This Row],[Lab Quote Count]]&gt;1,SLOPE(LOG(INDIRECT("RawMaterials[@[Lab Unit P 1]:[Lab Unit P "&amp;RawMaterials[[#This Row],[Lab Quote Count]]&amp;"]]")),LOG(INDIRECT("RawMaterials[@[Lab Q Model Units 1]:[Lab Q Model Units "&amp;RawMaterials[[#This Row],[Lab Quote Count]]&amp;"]]"))),"")</f>
        <v/>
      </c>
      <c r="AG452" s="367" t="str">
        <f ca="1">IF(RawMaterials[[#This Row],[Lab Quote Count]]&gt;1,INTERCEPT(LOG(INDIRECT("RawMaterials[@[Lab Unit P 1]:[Lab Unit P "&amp;RawMaterials[[#This Row],[Lab Quote Count]]&amp;"]]")),LOG(INDIRECT("RawMaterials[@[Lab Q Model Units 1]:[Lab Q Model Units "&amp;RawMaterials[[#This Row],[Lab Quote Count]]&amp;"]]"))),"")</f>
        <v/>
      </c>
      <c r="AH452" s="368" t="str">
        <f>IF(RawMaterials[[#This Row],[Material Type]]="Metal Precursor","D13",IF(RawMaterials[[#This Row],[Material Type]]="Ligand","D13","D12"))</f>
        <v>D12</v>
      </c>
      <c r="AI452" s="369" t="str">
        <f ca="1">IF(RawMaterials[[#This Row],[Lab Quote Count]]&gt;1,10^RawMaterials[[#This Row],[Lab Log-Log Intercept]]*INDIRECT(RawMaterials[[#This Row],[Basis Cell]])^RawMaterials[[#This Row],[Lab Log-Log Slope]],"&gt;&gt;&gt; Enter 2 or more lab quotes &lt;&lt;&lt;")</f>
        <v>&gt;&gt;&gt; Enter 2 or more lab quotes &lt;&lt;&lt;</v>
      </c>
      <c r="AJ4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452" s="372">
        <f>IF(ISTEXT(RawMaterials[[#This Row],[Unit price in quote year]]),"Check calcs",RawMaterials[[#This Row],[Unit price in quote year]]/VLOOKUP(RawMaterials[[#This Row],[Quote Year]],ChemPPI[],14,FALSE)*VLOOKUP(BasisYear,ChemPPI[],14,FALSE))</f>
        <v>1.6286585365853661</v>
      </c>
      <c r="AM452" s="373" t="str">
        <f t="shared" si="6"/>
        <v>$/lb (2016)</v>
      </c>
    </row>
    <row r="453" spans="1:39">
      <c r="A453" s="263" t="s">
        <v>1551</v>
      </c>
      <c r="B453" s="264"/>
      <c r="C453" s="271"/>
      <c r="D453" s="365"/>
      <c r="E453" s="264">
        <v>100</v>
      </c>
      <c r="F453" s="264"/>
      <c r="G453" s="271"/>
      <c r="H453" s="271"/>
      <c r="I453" s="268"/>
      <c r="J453" s="271"/>
      <c r="K453" s="271"/>
      <c r="L453" s="271"/>
      <c r="M453" s="271"/>
      <c r="N453" s="271"/>
      <c r="O453" s="271"/>
      <c r="P453" s="265">
        <v>79</v>
      </c>
      <c r="Q453" s="264">
        <v>100</v>
      </c>
      <c r="R453" s="264" t="s">
        <v>20</v>
      </c>
      <c r="S453" s="264">
        <v>2006</v>
      </c>
      <c r="T453" s="266" t="s">
        <v>163</v>
      </c>
      <c r="U453" s="267">
        <v>42653</v>
      </c>
      <c r="V453" s="269"/>
      <c r="W453" s="366">
        <f>COUNT(RawMaterials[[#This Row],[Lab Quantity 1]:[Lab Quantity 4]])</f>
        <v>0</v>
      </c>
      <c r="X4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3" s="367" t="e">
        <f>RawMaterials[[#This Row],[Lab Price 1]]/RawMaterials[[#This Row],[Lab Q Model Units 1]]</f>
        <v>#N/A</v>
      </c>
      <c r="AC453" s="367" t="e">
        <f>RawMaterials[[#This Row],[Lab Price 2]]/RawMaterials[[#This Row],[Lab Q Model Units 2]]</f>
        <v>#N/A</v>
      </c>
      <c r="AD453" s="367" t="e">
        <f>RawMaterials[[#This Row],[Lab Price 3]]/RawMaterials[[#This Row],[Lab Q Model Units 3]]</f>
        <v>#N/A</v>
      </c>
      <c r="AE453" s="367" t="e">
        <f>RawMaterials[[#This Row],[Lab Price 4]]/RawMaterials[[#This Row],[Lab Q Model Units 4]]</f>
        <v>#N/A</v>
      </c>
      <c r="AF453" s="367" t="str">
        <f ca="1">IF(RawMaterials[[#This Row],[Lab Quote Count]]&gt;1,SLOPE(LOG(INDIRECT("RawMaterials[@[Lab Unit P 1]:[Lab Unit P "&amp;RawMaterials[[#This Row],[Lab Quote Count]]&amp;"]]")),LOG(INDIRECT("RawMaterials[@[Lab Q Model Units 1]:[Lab Q Model Units "&amp;RawMaterials[[#This Row],[Lab Quote Count]]&amp;"]]"))),"")</f>
        <v/>
      </c>
      <c r="AG453" s="367" t="str">
        <f ca="1">IF(RawMaterials[[#This Row],[Lab Quote Count]]&gt;1,INTERCEPT(LOG(INDIRECT("RawMaterials[@[Lab Unit P 1]:[Lab Unit P "&amp;RawMaterials[[#This Row],[Lab Quote Count]]&amp;"]]")),LOG(INDIRECT("RawMaterials[@[Lab Q Model Units 1]:[Lab Q Model Units "&amp;RawMaterials[[#This Row],[Lab Quote Count]]&amp;"]]"))),"")</f>
        <v/>
      </c>
      <c r="AH453" s="368" t="str">
        <f>IF(RawMaterials[[#This Row],[Material Type]]="Metal Precursor","D13",IF(RawMaterials[[#This Row],[Material Type]]="Ligand","D13","D12"))</f>
        <v>D12</v>
      </c>
      <c r="AI453" s="369" t="str">
        <f ca="1">IF(RawMaterials[[#This Row],[Lab Quote Count]]&gt;1,10^RawMaterials[[#This Row],[Lab Log-Log Intercept]]*INDIRECT(RawMaterials[[#This Row],[Basis Cell]])^RawMaterials[[#This Row],[Lab Log-Log Slope]],"&gt;&gt;&gt; Enter 2 or more lab quotes &lt;&lt;&lt;")</f>
        <v>&gt;&gt;&gt; Enter 2 or more lab quotes &lt;&lt;&lt;</v>
      </c>
      <c r="AJ4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v>
      </c>
      <c r="AL453" s="372">
        <f>IF(ISTEXT(RawMaterials[[#This Row],[Unit price in quote year]]),"Check calcs",RawMaterials[[#This Row],[Unit price in quote year]]/VLOOKUP(RawMaterials[[#This Row],[Quote Year]],ChemPPI[],14,FALSE)*VLOOKUP(BasisYear,ChemPPI[],14,FALSE))</f>
        <v>1.0722002032520328</v>
      </c>
      <c r="AM453" s="373" t="str">
        <f t="shared" si="6"/>
        <v>$/lb (2016)</v>
      </c>
    </row>
    <row r="454" spans="1:39">
      <c r="A454" s="263" t="s">
        <v>1552</v>
      </c>
      <c r="B454" s="264"/>
      <c r="C454" s="271"/>
      <c r="D454" s="365"/>
      <c r="E454" s="264">
        <v>100</v>
      </c>
      <c r="F454" s="264"/>
      <c r="G454" s="271"/>
      <c r="H454" s="271"/>
      <c r="I454" s="268"/>
      <c r="J454" s="271"/>
      <c r="K454" s="271"/>
      <c r="L454" s="271"/>
      <c r="M454" s="271"/>
      <c r="N454" s="271"/>
      <c r="O454" s="271"/>
      <c r="P454" s="265">
        <v>82.5</v>
      </c>
      <c r="Q454" s="264">
        <v>100</v>
      </c>
      <c r="R454" s="264" t="s">
        <v>20</v>
      </c>
      <c r="S454" s="264">
        <v>2006</v>
      </c>
      <c r="T454" s="266" t="s">
        <v>163</v>
      </c>
      <c r="U454" s="267">
        <v>42653</v>
      </c>
      <c r="V454" s="269"/>
      <c r="W454" s="366">
        <f>COUNT(RawMaterials[[#This Row],[Lab Quantity 1]:[Lab Quantity 4]])</f>
        <v>0</v>
      </c>
      <c r="X4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4" s="367" t="e">
        <f>RawMaterials[[#This Row],[Lab Price 1]]/RawMaterials[[#This Row],[Lab Q Model Units 1]]</f>
        <v>#N/A</v>
      </c>
      <c r="AC454" s="367" t="e">
        <f>RawMaterials[[#This Row],[Lab Price 2]]/RawMaterials[[#This Row],[Lab Q Model Units 2]]</f>
        <v>#N/A</v>
      </c>
      <c r="AD454" s="367" t="e">
        <f>RawMaterials[[#This Row],[Lab Price 3]]/RawMaterials[[#This Row],[Lab Q Model Units 3]]</f>
        <v>#N/A</v>
      </c>
      <c r="AE454" s="367" t="e">
        <f>RawMaterials[[#This Row],[Lab Price 4]]/RawMaterials[[#This Row],[Lab Q Model Units 4]]</f>
        <v>#N/A</v>
      </c>
      <c r="AF454" s="367" t="str">
        <f ca="1">IF(RawMaterials[[#This Row],[Lab Quote Count]]&gt;1,SLOPE(LOG(INDIRECT("RawMaterials[@[Lab Unit P 1]:[Lab Unit P "&amp;RawMaterials[[#This Row],[Lab Quote Count]]&amp;"]]")),LOG(INDIRECT("RawMaterials[@[Lab Q Model Units 1]:[Lab Q Model Units "&amp;RawMaterials[[#This Row],[Lab Quote Count]]&amp;"]]"))),"")</f>
        <v/>
      </c>
      <c r="AG454" s="367" t="str">
        <f ca="1">IF(RawMaterials[[#This Row],[Lab Quote Count]]&gt;1,INTERCEPT(LOG(INDIRECT("RawMaterials[@[Lab Unit P 1]:[Lab Unit P "&amp;RawMaterials[[#This Row],[Lab Quote Count]]&amp;"]]")),LOG(INDIRECT("RawMaterials[@[Lab Q Model Units 1]:[Lab Q Model Units "&amp;RawMaterials[[#This Row],[Lab Quote Count]]&amp;"]]"))),"")</f>
        <v/>
      </c>
      <c r="AH454" s="368" t="str">
        <f>IF(RawMaterials[[#This Row],[Material Type]]="Metal Precursor","D13",IF(RawMaterials[[#This Row],[Material Type]]="Ligand","D13","D12"))</f>
        <v>D12</v>
      </c>
      <c r="AI454" s="369" t="str">
        <f ca="1">IF(RawMaterials[[#This Row],[Lab Quote Count]]&gt;1,10^RawMaterials[[#This Row],[Lab Log-Log Intercept]]*INDIRECT(RawMaterials[[#This Row],[Basis Cell]])^RawMaterials[[#This Row],[Lab Log-Log Slope]],"&gt;&gt;&gt; Enter 2 or more lab quotes &lt;&lt;&lt;")</f>
        <v>&gt;&gt;&gt; Enter 2 or more lab quotes &lt;&lt;&lt;</v>
      </c>
      <c r="AJ4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0.82499999999999996</v>
      </c>
      <c r="AL454" s="372">
        <f>IF(ISTEXT(RawMaterials[[#This Row],[Unit price in quote year]]),"Check calcs",RawMaterials[[#This Row],[Unit price in quote year]]/VLOOKUP(RawMaterials[[#This Row],[Quote Year]],ChemPPI[],14,FALSE)*VLOOKUP(BasisYear,ChemPPI[],14,FALSE))</f>
        <v>1.1197027439024392</v>
      </c>
      <c r="AM454" s="373" t="str">
        <f t="shared" si="6"/>
        <v>$/lb (2016)</v>
      </c>
    </row>
    <row r="455" spans="1:39">
      <c r="A455" s="263" t="s">
        <v>1553</v>
      </c>
      <c r="B455" s="264"/>
      <c r="C455" s="271"/>
      <c r="D455" s="365"/>
      <c r="E455" s="264">
        <v>100</v>
      </c>
      <c r="F455" s="264"/>
      <c r="G455" s="271"/>
      <c r="H455" s="271"/>
      <c r="I455" s="268"/>
      <c r="J455" s="271"/>
      <c r="K455" s="271"/>
      <c r="L455" s="271"/>
      <c r="M455" s="271"/>
      <c r="N455" s="271"/>
      <c r="O455" s="271"/>
      <c r="P455" s="265">
        <v>4.0999999999999996</v>
      </c>
      <c r="Q455" s="264">
        <v>1</v>
      </c>
      <c r="R455" s="264" t="s">
        <v>20</v>
      </c>
      <c r="S455" s="264">
        <v>2006</v>
      </c>
      <c r="T455" s="266" t="s">
        <v>163</v>
      </c>
      <c r="U455" s="267">
        <v>42653</v>
      </c>
      <c r="V455" s="269"/>
      <c r="W455" s="366">
        <f>COUNT(RawMaterials[[#This Row],[Lab Quantity 1]:[Lab Quantity 4]])</f>
        <v>0</v>
      </c>
      <c r="X4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5" s="367" t="e">
        <f>RawMaterials[[#This Row],[Lab Price 1]]/RawMaterials[[#This Row],[Lab Q Model Units 1]]</f>
        <v>#N/A</v>
      </c>
      <c r="AC455" s="367" t="e">
        <f>RawMaterials[[#This Row],[Lab Price 2]]/RawMaterials[[#This Row],[Lab Q Model Units 2]]</f>
        <v>#N/A</v>
      </c>
      <c r="AD455" s="367" t="e">
        <f>RawMaterials[[#This Row],[Lab Price 3]]/RawMaterials[[#This Row],[Lab Q Model Units 3]]</f>
        <v>#N/A</v>
      </c>
      <c r="AE455" s="367" t="e">
        <f>RawMaterials[[#This Row],[Lab Price 4]]/RawMaterials[[#This Row],[Lab Q Model Units 4]]</f>
        <v>#N/A</v>
      </c>
      <c r="AF455" s="367" t="str">
        <f ca="1">IF(RawMaterials[[#This Row],[Lab Quote Count]]&gt;1,SLOPE(LOG(INDIRECT("RawMaterials[@[Lab Unit P 1]:[Lab Unit P "&amp;RawMaterials[[#This Row],[Lab Quote Count]]&amp;"]]")),LOG(INDIRECT("RawMaterials[@[Lab Q Model Units 1]:[Lab Q Model Units "&amp;RawMaterials[[#This Row],[Lab Quote Count]]&amp;"]]"))),"")</f>
        <v/>
      </c>
      <c r="AG455" s="367" t="str">
        <f ca="1">IF(RawMaterials[[#This Row],[Lab Quote Count]]&gt;1,INTERCEPT(LOG(INDIRECT("RawMaterials[@[Lab Unit P 1]:[Lab Unit P "&amp;RawMaterials[[#This Row],[Lab Quote Count]]&amp;"]]")),LOG(INDIRECT("RawMaterials[@[Lab Q Model Units 1]:[Lab Q Model Units "&amp;RawMaterials[[#This Row],[Lab Quote Count]]&amp;"]]"))),"")</f>
        <v/>
      </c>
      <c r="AH455" s="368" t="str">
        <f>IF(RawMaterials[[#This Row],[Material Type]]="Metal Precursor","D13",IF(RawMaterials[[#This Row],[Material Type]]="Ligand","D13","D12"))</f>
        <v>D12</v>
      </c>
      <c r="AI455" s="369" t="str">
        <f ca="1">IF(RawMaterials[[#This Row],[Lab Quote Count]]&gt;1,10^RawMaterials[[#This Row],[Lab Log-Log Intercept]]*INDIRECT(RawMaterials[[#This Row],[Basis Cell]])^RawMaterials[[#This Row],[Lab Log-Log Slope]],"&gt;&gt;&gt; Enter 2 or more lab quotes &lt;&lt;&lt;")</f>
        <v>&gt;&gt;&gt; Enter 2 or more lab quotes &lt;&lt;&lt;</v>
      </c>
      <c r="AJ4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4.0999999999999996</v>
      </c>
      <c r="AL455" s="372">
        <f>IF(ISTEXT(RawMaterials[[#This Row],[Unit price in quote year]]),"Check calcs",RawMaterials[[#This Row],[Unit price in quote year]]/VLOOKUP(RawMaterials[[#This Row],[Quote Year]],ChemPPI[],14,FALSE)*VLOOKUP(BasisYear,ChemPPI[],14,FALSE))</f>
        <v>5.5645833333333332</v>
      </c>
      <c r="AM455" s="373" t="str">
        <f t="shared" si="6"/>
        <v>$/lb (2016)</v>
      </c>
    </row>
    <row r="456" spans="1:39">
      <c r="A456" s="263" t="s">
        <v>1554</v>
      </c>
      <c r="B456" s="264"/>
      <c r="C456" s="271"/>
      <c r="D456" s="365"/>
      <c r="E456" s="264">
        <v>100</v>
      </c>
      <c r="F456" s="264"/>
      <c r="G456" s="271"/>
      <c r="H456" s="271"/>
      <c r="I456" s="268"/>
      <c r="J456" s="271"/>
      <c r="K456" s="271"/>
      <c r="L456" s="271"/>
      <c r="M456" s="271"/>
      <c r="N456" s="271"/>
      <c r="O456" s="271"/>
      <c r="P456" s="265">
        <v>195</v>
      </c>
      <c r="Q456" s="264">
        <v>1</v>
      </c>
      <c r="R456" s="264" t="s">
        <v>406</v>
      </c>
      <c r="S456" s="264">
        <v>2006</v>
      </c>
      <c r="T456" s="266" t="s">
        <v>163</v>
      </c>
      <c r="U456" s="267">
        <v>42653</v>
      </c>
      <c r="V456" s="269"/>
      <c r="W456" s="366">
        <f>COUNT(RawMaterials[[#This Row],[Lab Quantity 1]:[Lab Quantity 4]])</f>
        <v>0</v>
      </c>
      <c r="X4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6" s="367" t="e">
        <f>RawMaterials[[#This Row],[Lab Price 1]]/RawMaterials[[#This Row],[Lab Q Model Units 1]]</f>
        <v>#N/A</v>
      </c>
      <c r="AC456" s="367" t="e">
        <f>RawMaterials[[#This Row],[Lab Price 2]]/RawMaterials[[#This Row],[Lab Q Model Units 2]]</f>
        <v>#N/A</v>
      </c>
      <c r="AD456" s="367" t="e">
        <f>RawMaterials[[#This Row],[Lab Price 3]]/RawMaterials[[#This Row],[Lab Q Model Units 3]]</f>
        <v>#N/A</v>
      </c>
      <c r="AE456" s="367" t="e">
        <f>RawMaterials[[#This Row],[Lab Price 4]]/RawMaterials[[#This Row],[Lab Q Model Units 4]]</f>
        <v>#N/A</v>
      </c>
      <c r="AF456" s="367" t="str">
        <f ca="1">IF(RawMaterials[[#This Row],[Lab Quote Count]]&gt;1,SLOPE(LOG(INDIRECT("RawMaterials[@[Lab Unit P 1]:[Lab Unit P "&amp;RawMaterials[[#This Row],[Lab Quote Count]]&amp;"]]")),LOG(INDIRECT("RawMaterials[@[Lab Q Model Units 1]:[Lab Q Model Units "&amp;RawMaterials[[#This Row],[Lab Quote Count]]&amp;"]]"))),"")</f>
        <v/>
      </c>
      <c r="AG456" s="367" t="str">
        <f ca="1">IF(RawMaterials[[#This Row],[Lab Quote Count]]&gt;1,INTERCEPT(LOG(INDIRECT("RawMaterials[@[Lab Unit P 1]:[Lab Unit P "&amp;RawMaterials[[#This Row],[Lab Quote Count]]&amp;"]]")),LOG(INDIRECT("RawMaterials[@[Lab Q Model Units 1]:[Lab Q Model Units "&amp;RawMaterials[[#This Row],[Lab Quote Count]]&amp;"]]"))),"")</f>
        <v/>
      </c>
      <c r="AH456" s="368" t="str">
        <f>IF(RawMaterials[[#This Row],[Material Type]]="Metal Precursor","D13",IF(RawMaterials[[#This Row],[Material Type]]="Ligand","D13","D12"))</f>
        <v>D12</v>
      </c>
      <c r="AI456" s="369" t="str">
        <f ca="1">IF(RawMaterials[[#This Row],[Lab Quote Count]]&gt;1,10^RawMaterials[[#This Row],[Lab Log-Log Intercept]]*INDIRECT(RawMaterials[[#This Row],[Basis Cell]])^RawMaterials[[#This Row],[Lab Log-Log Slope]],"&gt;&gt;&gt; Enter 2 or more lab quotes &lt;&lt;&lt;")</f>
        <v>&gt;&gt;&gt; Enter 2 or more lab quotes &lt;&lt;&lt;</v>
      </c>
      <c r="AJ4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9.7500000000000003E-2</v>
      </c>
      <c r="AL456" s="372">
        <f>IF(ISTEXT(RawMaterials[[#This Row],[Unit price in quote year]]),"Check calcs",RawMaterials[[#This Row],[Unit price in quote year]]/VLOOKUP(RawMaterials[[#This Row],[Quote Year]],ChemPPI[],14,FALSE)*VLOOKUP(BasisYear,ChemPPI[],14,FALSE))</f>
        <v>0.132328506097561</v>
      </c>
      <c r="AM456" s="373" t="str">
        <f t="shared" si="6"/>
        <v>$/lb (2016)</v>
      </c>
    </row>
    <row r="457" spans="1:39">
      <c r="A457" s="263" t="s">
        <v>1555</v>
      </c>
      <c r="B457" s="264"/>
      <c r="C457" s="271"/>
      <c r="D457" s="365"/>
      <c r="E457" s="264">
        <v>100</v>
      </c>
      <c r="F457" s="264"/>
      <c r="G457" s="271"/>
      <c r="H457" s="271"/>
      <c r="I457" s="268"/>
      <c r="J457" s="271"/>
      <c r="K457" s="271"/>
      <c r="L457" s="271"/>
      <c r="M457" s="271"/>
      <c r="N457" s="271"/>
      <c r="O457" s="271"/>
      <c r="P457" s="265">
        <v>1.94</v>
      </c>
      <c r="Q457" s="264">
        <v>1</v>
      </c>
      <c r="R457" s="264" t="s">
        <v>20</v>
      </c>
      <c r="S457" s="264">
        <v>2006</v>
      </c>
      <c r="T457" s="266" t="s">
        <v>163</v>
      </c>
      <c r="U457" s="267">
        <v>42653</v>
      </c>
      <c r="V457" s="269"/>
      <c r="W457" s="366">
        <f>COUNT(RawMaterials[[#This Row],[Lab Quantity 1]:[Lab Quantity 4]])</f>
        <v>0</v>
      </c>
      <c r="X4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7" s="367" t="e">
        <f>RawMaterials[[#This Row],[Lab Price 1]]/RawMaterials[[#This Row],[Lab Q Model Units 1]]</f>
        <v>#N/A</v>
      </c>
      <c r="AC457" s="367" t="e">
        <f>RawMaterials[[#This Row],[Lab Price 2]]/RawMaterials[[#This Row],[Lab Q Model Units 2]]</f>
        <v>#N/A</v>
      </c>
      <c r="AD457" s="367" t="e">
        <f>RawMaterials[[#This Row],[Lab Price 3]]/RawMaterials[[#This Row],[Lab Q Model Units 3]]</f>
        <v>#N/A</v>
      </c>
      <c r="AE457" s="367" t="e">
        <f>RawMaterials[[#This Row],[Lab Price 4]]/RawMaterials[[#This Row],[Lab Q Model Units 4]]</f>
        <v>#N/A</v>
      </c>
      <c r="AF457" s="367" t="str">
        <f ca="1">IF(RawMaterials[[#This Row],[Lab Quote Count]]&gt;1,SLOPE(LOG(INDIRECT("RawMaterials[@[Lab Unit P 1]:[Lab Unit P "&amp;RawMaterials[[#This Row],[Lab Quote Count]]&amp;"]]")),LOG(INDIRECT("RawMaterials[@[Lab Q Model Units 1]:[Lab Q Model Units "&amp;RawMaterials[[#This Row],[Lab Quote Count]]&amp;"]]"))),"")</f>
        <v/>
      </c>
      <c r="AG457" s="367" t="str">
        <f ca="1">IF(RawMaterials[[#This Row],[Lab Quote Count]]&gt;1,INTERCEPT(LOG(INDIRECT("RawMaterials[@[Lab Unit P 1]:[Lab Unit P "&amp;RawMaterials[[#This Row],[Lab Quote Count]]&amp;"]]")),LOG(INDIRECT("RawMaterials[@[Lab Q Model Units 1]:[Lab Q Model Units "&amp;RawMaterials[[#This Row],[Lab Quote Count]]&amp;"]]"))),"")</f>
        <v/>
      </c>
      <c r="AH457" s="368" t="str">
        <f>IF(RawMaterials[[#This Row],[Material Type]]="Metal Precursor","D13",IF(RawMaterials[[#This Row],[Material Type]]="Ligand","D13","D12"))</f>
        <v>D12</v>
      </c>
      <c r="AI457" s="369" t="str">
        <f ca="1">IF(RawMaterials[[#This Row],[Lab Quote Count]]&gt;1,10^RawMaterials[[#This Row],[Lab Log-Log Intercept]]*INDIRECT(RawMaterials[[#This Row],[Basis Cell]])^RawMaterials[[#This Row],[Lab Log-Log Slope]],"&gt;&gt;&gt; Enter 2 or more lab quotes &lt;&lt;&lt;")</f>
        <v>&gt;&gt;&gt; Enter 2 or more lab quotes &lt;&lt;&lt;</v>
      </c>
      <c r="AJ4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7" s="372">
        <f>IF(ISTEXT(RawMaterials[[#This Row],[Unit price in quote year]]),"Check calcs",RawMaterials[[#This Row],[Unit price in quote year]]/VLOOKUP(RawMaterials[[#This Row],[Quote Year]],ChemPPI[],14,FALSE)*VLOOKUP(BasisYear,ChemPPI[],14,FALSE))</f>
        <v>2.6329979674796755</v>
      </c>
      <c r="AM457" s="373" t="str">
        <f t="shared" si="6"/>
        <v>$/lb (2016)</v>
      </c>
    </row>
    <row r="458" spans="1:39">
      <c r="A458" s="263" t="s">
        <v>1556</v>
      </c>
      <c r="B458" s="264"/>
      <c r="C458" s="271"/>
      <c r="D458" s="365"/>
      <c r="E458" s="264">
        <v>100</v>
      </c>
      <c r="F458" s="264"/>
      <c r="G458" s="271"/>
      <c r="H458" s="271"/>
      <c r="I458" s="268"/>
      <c r="J458" s="271"/>
      <c r="K458" s="271"/>
      <c r="L458" s="271"/>
      <c r="M458" s="271"/>
      <c r="N458" s="271"/>
      <c r="O458" s="271"/>
      <c r="P458" s="265">
        <v>1.1499999999999999</v>
      </c>
      <c r="Q458" s="264">
        <v>1</v>
      </c>
      <c r="R458" s="264" t="s">
        <v>20</v>
      </c>
      <c r="S458" s="264">
        <v>2006</v>
      </c>
      <c r="T458" s="266" t="s">
        <v>163</v>
      </c>
      <c r="U458" s="267">
        <v>42653</v>
      </c>
      <c r="V458" s="269"/>
      <c r="W458" s="366">
        <f>COUNT(RawMaterials[[#This Row],[Lab Quantity 1]:[Lab Quantity 4]])</f>
        <v>0</v>
      </c>
      <c r="X4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8" s="367" t="e">
        <f>RawMaterials[[#This Row],[Lab Price 1]]/RawMaterials[[#This Row],[Lab Q Model Units 1]]</f>
        <v>#N/A</v>
      </c>
      <c r="AC458" s="367" t="e">
        <f>RawMaterials[[#This Row],[Lab Price 2]]/RawMaterials[[#This Row],[Lab Q Model Units 2]]</f>
        <v>#N/A</v>
      </c>
      <c r="AD458" s="367" t="e">
        <f>RawMaterials[[#This Row],[Lab Price 3]]/RawMaterials[[#This Row],[Lab Q Model Units 3]]</f>
        <v>#N/A</v>
      </c>
      <c r="AE458" s="367" t="e">
        <f>RawMaterials[[#This Row],[Lab Price 4]]/RawMaterials[[#This Row],[Lab Q Model Units 4]]</f>
        <v>#N/A</v>
      </c>
      <c r="AF458" s="367" t="str">
        <f ca="1">IF(RawMaterials[[#This Row],[Lab Quote Count]]&gt;1,SLOPE(LOG(INDIRECT("RawMaterials[@[Lab Unit P 1]:[Lab Unit P "&amp;RawMaterials[[#This Row],[Lab Quote Count]]&amp;"]]")),LOG(INDIRECT("RawMaterials[@[Lab Q Model Units 1]:[Lab Q Model Units "&amp;RawMaterials[[#This Row],[Lab Quote Count]]&amp;"]]"))),"")</f>
        <v/>
      </c>
      <c r="AG458" s="367" t="str">
        <f ca="1">IF(RawMaterials[[#This Row],[Lab Quote Count]]&gt;1,INTERCEPT(LOG(INDIRECT("RawMaterials[@[Lab Unit P 1]:[Lab Unit P "&amp;RawMaterials[[#This Row],[Lab Quote Count]]&amp;"]]")),LOG(INDIRECT("RawMaterials[@[Lab Q Model Units 1]:[Lab Q Model Units "&amp;RawMaterials[[#This Row],[Lab Quote Count]]&amp;"]]"))),"")</f>
        <v/>
      </c>
      <c r="AH458" s="368" t="str">
        <f>IF(RawMaterials[[#This Row],[Material Type]]="Metal Precursor","D13",IF(RawMaterials[[#This Row],[Material Type]]="Ligand","D13","D12"))</f>
        <v>D12</v>
      </c>
      <c r="AI458" s="369" t="str">
        <f ca="1">IF(RawMaterials[[#This Row],[Lab Quote Count]]&gt;1,10^RawMaterials[[#This Row],[Lab Log-Log Intercept]]*INDIRECT(RawMaterials[[#This Row],[Basis Cell]])^RawMaterials[[#This Row],[Lab Log-Log Slope]],"&gt;&gt;&gt; Enter 2 or more lab quotes &lt;&lt;&lt;")</f>
        <v>&gt;&gt;&gt; Enter 2 or more lab quotes &lt;&lt;&lt;</v>
      </c>
      <c r="AJ4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1.1499999999999999</v>
      </c>
      <c r="AL458" s="372">
        <f>IF(ISTEXT(RawMaterials[[#This Row],[Unit price in quote year]]),"Check calcs",RawMaterials[[#This Row],[Unit price in quote year]]/VLOOKUP(RawMaterials[[#This Row],[Quote Year]],ChemPPI[],14,FALSE)*VLOOKUP(BasisYear,ChemPPI[],14,FALSE))</f>
        <v>1.5607977642276423</v>
      </c>
      <c r="AM458" s="373" t="str">
        <f t="shared" si="6"/>
        <v>$/lb (2016)</v>
      </c>
    </row>
    <row r="459" spans="1:39">
      <c r="A459" s="263" t="s">
        <v>1557</v>
      </c>
      <c r="B459" s="264"/>
      <c r="C459" s="271"/>
      <c r="D459" s="365"/>
      <c r="E459" s="264">
        <v>100</v>
      </c>
      <c r="F459" s="264"/>
      <c r="G459" s="271"/>
      <c r="H459" s="271"/>
      <c r="I459" s="268"/>
      <c r="J459" s="271"/>
      <c r="K459" s="271"/>
      <c r="L459" s="271"/>
      <c r="M459" s="271"/>
      <c r="N459" s="271"/>
      <c r="O459" s="271"/>
      <c r="P459" s="265">
        <v>1.94</v>
      </c>
      <c r="Q459" s="264">
        <v>1</v>
      </c>
      <c r="R459" s="264" t="s">
        <v>20</v>
      </c>
      <c r="S459" s="264">
        <v>2006</v>
      </c>
      <c r="T459" s="266" t="s">
        <v>163</v>
      </c>
      <c r="U459" s="267">
        <v>42653</v>
      </c>
      <c r="V459" s="269"/>
      <c r="W459" s="366">
        <f>COUNT(RawMaterials[[#This Row],[Lab Quantity 1]:[Lab Quantity 4]])</f>
        <v>0</v>
      </c>
      <c r="X4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59" s="367" t="e">
        <f>RawMaterials[[#This Row],[Lab Price 1]]/RawMaterials[[#This Row],[Lab Q Model Units 1]]</f>
        <v>#N/A</v>
      </c>
      <c r="AC459" s="367" t="e">
        <f>RawMaterials[[#This Row],[Lab Price 2]]/RawMaterials[[#This Row],[Lab Q Model Units 2]]</f>
        <v>#N/A</v>
      </c>
      <c r="AD459" s="367" t="e">
        <f>RawMaterials[[#This Row],[Lab Price 3]]/RawMaterials[[#This Row],[Lab Q Model Units 3]]</f>
        <v>#N/A</v>
      </c>
      <c r="AE459" s="367" t="e">
        <f>RawMaterials[[#This Row],[Lab Price 4]]/RawMaterials[[#This Row],[Lab Q Model Units 4]]</f>
        <v>#N/A</v>
      </c>
      <c r="AF459" s="367" t="str">
        <f ca="1">IF(RawMaterials[[#This Row],[Lab Quote Count]]&gt;1,SLOPE(LOG(INDIRECT("RawMaterials[@[Lab Unit P 1]:[Lab Unit P "&amp;RawMaterials[[#This Row],[Lab Quote Count]]&amp;"]]")),LOG(INDIRECT("RawMaterials[@[Lab Q Model Units 1]:[Lab Q Model Units "&amp;RawMaterials[[#This Row],[Lab Quote Count]]&amp;"]]"))),"")</f>
        <v/>
      </c>
      <c r="AG459" s="367" t="str">
        <f ca="1">IF(RawMaterials[[#This Row],[Lab Quote Count]]&gt;1,INTERCEPT(LOG(INDIRECT("RawMaterials[@[Lab Unit P 1]:[Lab Unit P "&amp;RawMaterials[[#This Row],[Lab Quote Count]]&amp;"]]")),LOG(INDIRECT("RawMaterials[@[Lab Q Model Units 1]:[Lab Q Model Units "&amp;RawMaterials[[#This Row],[Lab Quote Count]]&amp;"]]"))),"")</f>
        <v/>
      </c>
      <c r="AH459" s="368" t="str">
        <f>IF(RawMaterials[[#This Row],[Material Type]]="Metal Precursor","D13",IF(RawMaterials[[#This Row],[Material Type]]="Ligand","D13","D12"))</f>
        <v>D12</v>
      </c>
      <c r="AI459" s="369" t="str">
        <f ca="1">IF(RawMaterials[[#This Row],[Lab Quote Count]]&gt;1,10^RawMaterials[[#This Row],[Lab Log-Log Intercept]]*INDIRECT(RawMaterials[[#This Row],[Basis Cell]])^RawMaterials[[#This Row],[Lab Log-Log Slope]],"&gt;&gt;&gt; Enter 2 or more lab quotes &lt;&lt;&lt;")</f>
        <v>&gt;&gt;&gt; Enter 2 or more lab quotes &lt;&lt;&lt;</v>
      </c>
      <c r="AJ4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1.94</v>
      </c>
      <c r="AL459" s="372">
        <f>IF(ISTEXT(RawMaterials[[#This Row],[Unit price in quote year]]),"Check calcs",RawMaterials[[#This Row],[Unit price in quote year]]/VLOOKUP(RawMaterials[[#This Row],[Quote Year]],ChemPPI[],14,FALSE)*VLOOKUP(BasisYear,ChemPPI[],14,FALSE))</f>
        <v>2.6329979674796755</v>
      </c>
      <c r="AM459" s="373" t="str">
        <f t="shared" si="6"/>
        <v>$/lb (2016)</v>
      </c>
    </row>
    <row r="460" spans="1:39">
      <c r="A460" s="263" t="s">
        <v>1558</v>
      </c>
      <c r="B460" s="264"/>
      <c r="C460" s="271"/>
      <c r="D460" s="365"/>
      <c r="E460" s="264">
        <v>100</v>
      </c>
      <c r="F460" s="264"/>
      <c r="G460" s="271"/>
      <c r="H460" s="271"/>
      <c r="I460" s="268"/>
      <c r="J460" s="271"/>
      <c r="K460" s="271"/>
      <c r="L460" s="271"/>
      <c r="M460" s="271"/>
      <c r="N460" s="271"/>
      <c r="O460" s="271"/>
      <c r="P460" s="265">
        <v>2</v>
      </c>
      <c r="Q460" s="264">
        <v>1</v>
      </c>
      <c r="R460" s="264" t="s">
        <v>71</v>
      </c>
      <c r="S460" s="264">
        <v>2006</v>
      </c>
      <c r="T460" s="266" t="s">
        <v>163</v>
      </c>
      <c r="U460" s="267">
        <v>42653</v>
      </c>
      <c r="V460" s="269"/>
      <c r="W460" s="366">
        <f>COUNT(RawMaterials[[#This Row],[Lab Quantity 1]:[Lab Quantity 4]])</f>
        <v>0</v>
      </c>
      <c r="X4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0" s="367" t="e">
        <f>RawMaterials[[#This Row],[Lab Price 1]]/RawMaterials[[#This Row],[Lab Q Model Units 1]]</f>
        <v>#N/A</v>
      </c>
      <c r="AC460" s="367" t="e">
        <f>RawMaterials[[#This Row],[Lab Price 2]]/RawMaterials[[#This Row],[Lab Q Model Units 2]]</f>
        <v>#N/A</v>
      </c>
      <c r="AD460" s="367" t="e">
        <f>RawMaterials[[#This Row],[Lab Price 3]]/RawMaterials[[#This Row],[Lab Q Model Units 3]]</f>
        <v>#N/A</v>
      </c>
      <c r="AE460" s="367" t="e">
        <f>RawMaterials[[#This Row],[Lab Price 4]]/RawMaterials[[#This Row],[Lab Q Model Units 4]]</f>
        <v>#N/A</v>
      </c>
      <c r="AF460" s="367" t="str">
        <f ca="1">IF(RawMaterials[[#This Row],[Lab Quote Count]]&gt;1,SLOPE(LOG(INDIRECT("RawMaterials[@[Lab Unit P 1]:[Lab Unit P "&amp;RawMaterials[[#This Row],[Lab Quote Count]]&amp;"]]")),LOG(INDIRECT("RawMaterials[@[Lab Q Model Units 1]:[Lab Q Model Units "&amp;RawMaterials[[#This Row],[Lab Quote Count]]&amp;"]]"))),"")</f>
        <v/>
      </c>
      <c r="AG460" s="367" t="str">
        <f ca="1">IF(RawMaterials[[#This Row],[Lab Quote Count]]&gt;1,INTERCEPT(LOG(INDIRECT("RawMaterials[@[Lab Unit P 1]:[Lab Unit P "&amp;RawMaterials[[#This Row],[Lab Quote Count]]&amp;"]]")),LOG(INDIRECT("RawMaterials[@[Lab Q Model Units 1]:[Lab Q Model Units "&amp;RawMaterials[[#This Row],[Lab Quote Count]]&amp;"]]"))),"")</f>
        <v/>
      </c>
      <c r="AH460" s="368" t="str">
        <f>IF(RawMaterials[[#This Row],[Material Type]]="Metal Precursor","D13",IF(RawMaterials[[#This Row],[Material Type]]="Ligand","D13","D12"))</f>
        <v>D12</v>
      </c>
      <c r="AI460" s="369" t="str">
        <f ca="1">IF(RawMaterials[[#This Row],[Lab Quote Count]]&gt;1,10^RawMaterials[[#This Row],[Lab Log-Log Intercept]]*INDIRECT(RawMaterials[[#This Row],[Basis Cell]])^RawMaterials[[#This Row],[Lab Log-Log Slope]],"&gt;&gt;&gt; Enter 2 or more lab quotes &lt;&lt;&lt;")</f>
        <v>&gt;&gt;&gt; Enter 2 or more lab quotes &lt;&lt;&lt;</v>
      </c>
      <c r="AJ4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0.90718474000000004</v>
      </c>
      <c r="AL460" s="372">
        <f>IF(ISTEXT(RawMaterials[[#This Row],[Unit price in quote year]]),"Check calcs",RawMaterials[[#This Row],[Unit price in quote year]]/VLOOKUP(RawMaterials[[#This Row],[Quote Year]],ChemPPI[],14,FALSE)*VLOOKUP(BasisYear,ChemPPI[],14,FALSE))</f>
        <v>1.2312451425508133</v>
      </c>
      <c r="AM460" s="373" t="str">
        <f t="shared" si="6"/>
        <v>$/lb (2016)</v>
      </c>
    </row>
    <row r="461" spans="1:39">
      <c r="A461" s="263" t="s">
        <v>1559</v>
      </c>
      <c r="B461" s="264"/>
      <c r="C461" s="271"/>
      <c r="D461" s="365"/>
      <c r="E461" s="264">
        <v>100</v>
      </c>
      <c r="F461" s="264"/>
      <c r="G461" s="271"/>
      <c r="H461" s="271"/>
      <c r="I461" s="268"/>
      <c r="J461" s="271"/>
      <c r="K461" s="271"/>
      <c r="L461" s="271"/>
      <c r="M461" s="271"/>
      <c r="N461" s="271"/>
      <c r="O461" s="271"/>
      <c r="P461" s="265">
        <v>87</v>
      </c>
      <c r="Q461" s="264">
        <v>1</v>
      </c>
      <c r="R461" s="264" t="s">
        <v>406</v>
      </c>
      <c r="S461" s="264">
        <v>2006</v>
      </c>
      <c r="T461" s="266" t="s">
        <v>163</v>
      </c>
      <c r="U461" s="267">
        <v>42653</v>
      </c>
      <c r="V461" s="269"/>
      <c r="W461" s="366">
        <f>COUNT(RawMaterials[[#This Row],[Lab Quantity 1]:[Lab Quantity 4]])</f>
        <v>0</v>
      </c>
      <c r="X4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1" s="367" t="e">
        <f>RawMaterials[[#This Row],[Lab Price 1]]/RawMaterials[[#This Row],[Lab Q Model Units 1]]</f>
        <v>#N/A</v>
      </c>
      <c r="AC461" s="367" t="e">
        <f>RawMaterials[[#This Row],[Lab Price 2]]/RawMaterials[[#This Row],[Lab Q Model Units 2]]</f>
        <v>#N/A</v>
      </c>
      <c r="AD461" s="367" t="e">
        <f>RawMaterials[[#This Row],[Lab Price 3]]/RawMaterials[[#This Row],[Lab Q Model Units 3]]</f>
        <v>#N/A</v>
      </c>
      <c r="AE461" s="367" t="e">
        <f>RawMaterials[[#This Row],[Lab Price 4]]/RawMaterials[[#This Row],[Lab Q Model Units 4]]</f>
        <v>#N/A</v>
      </c>
      <c r="AF461" s="367" t="str">
        <f ca="1">IF(RawMaterials[[#This Row],[Lab Quote Count]]&gt;1,SLOPE(LOG(INDIRECT("RawMaterials[@[Lab Unit P 1]:[Lab Unit P "&amp;RawMaterials[[#This Row],[Lab Quote Count]]&amp;"]]")),LOG(INDIRECT("RawMaterials[@[Lab Q Model Units 1]:[Lab Q Model Units "&amp;RawMaterials[[#This Row],[Lab Quote Count]]&amp;"]]"))),"")</f>
        <v/>
      </c>
      <c r="AG461" s="367" t="str">
        <f ca="1">IF(RawMaterials[[#This Row],[Lab Quote Count]]&gt;1,INTERCEPT(LOG(INDIRECT("RawMaterials[@[Lab Unit P 1]:[Lab Unit P "&amp;RawMaterials[[#This Row],[Lab Quote Count]]&amp;"]]")),LOG(INDIRECT("RawMaterials[@[Lab Q Model Units 1]:[Lab Q Model Units "&amp;RawMaterials[[#This Row],[Lab Quote Count]]&amp;"]]"))),"")</f>
        <v/>
      </c>
      <c r="AH461" s="368" t="str">
        <f>IF(RawMaterials[[#This Row],[Material Type]]="Metal Precursor","D13",IF(RawMaterials[[#This Row],[Material Type]]="Ligand","D13","D12"))</f>
        <v>D12</v>
      </c>
      <c r="AI461" s="369" t="str">
        <f ca="1">IF(RawMaterials[[#This Row],[Lab Quote Count]]&gt;1,10^RawMaterials[[#This Row],[Lab Log-Log Intercept]]*INDIRECT(RawMaterials[[#This Row],[Basis Cell]])^RawMaterials[[#This Row],[Lab Log-Log Slope]],"&gt;&gt;&gt; Enter 2 or more lab quotes &lt;&lt;&lt;")</f>
        <v>&gt;&gt;&gt; Enter 2 or more lab quotes &lt;&lt;&lt;</v>
      </c>
      <c r="AJ4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461" s="372">
        <f>IF(ISTEXT(RawMaterials[[#This Row],[Unit price in quote year]]),"Check calcs",RawMaterials[[#This Row],[Unit price in quote year]]/VLOOKUP(RawMaterials[[#This Row],[Quote Year]],ChemPPI[],14,FALSE)*VLOOKUP(BasisYear,ChemPPI[],14,FALSE))</f>
        <v>5.903887195121952E-2</v>
      </c>
      <c r="AM461" s="373" t="str">
        <f t="shared" si="6"/>
        <v>$/lb (2016)</v>
      </c>
    </row>
    <row r="462" spans="1:39">
      <c r="A462" s="263" t="s">
        <v>1560</v>
      </c>
      <c r="B462" s="264"/>
      <c r="C462" s="271"/>
      <c r="D462" s="365"/>
      <c r="E462" s="264">
        <v>100</v>
      </c>
      <c r="F462" s="264"/>
      <c r="G462" s="271"/>
      <c r="H462" s="271"/>
      <c r="I462" s="268"/>
      <c r="J462" s="271"/>
      <c r="K462" s="271"/>
      <c r="L462" s="271"/>
      <c r="M462" s="271"/>
      <c r="N462" s="271"/>
      <c r="O462" s="271"/>
      <c r="P462" s="265">
        <v>0.55000000000000004</v>
      </c>
      <c r="Q462" s="264">
        <v>1</v>
      </c>
      <c r="R462" s="264" t="s">
        <v>20</v>
      </c>
      <c r="S462" s="264">
        <v>2006</v>
      </c>
      <c r="T462" s="266" t="s">
        <v>163</v>
      </c>
      <c r="U462" s="267">
        <v>42653</v>
      </c>
      <c r="V462" s="269"/>
      <c r="W462" s="366">
        <f>COUNT(RawMaterials[[#This Row],[Lab Quantity 1]:[Lab Quantity 4]])</f>
        <v>0</v>
      </c>
      <c r="X4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2" s="367" t="e">
        <f>RawMaterials[[#This Row],[Lab Price 1]]/RawMaterials[[#This Row],[Lab Q Model Units 1]]</f>
        <v>#N/A</v>
      </c>
      <c r="AC462" s="367" t="e">
        <f>RawMaterials[[#This Row],[Lab Price 2]]/RawMaterials[[#This Row],[Lab Q Model Units 2]]</f>
        <v>#N/A</v>
      </c>
      <c r="AD462" s="367" t="e">
        <f>RawMaterials[[#This Row],[Lab Price 3]]/RawMaterials[[#This Row],[Lab Q Model Units 3]]</f>
        <v>#N/A</v>
      </c>
      <c r="AE462" s="367" t="e">
        <f>RawMaterials[[#This Row],[Lab Price 4]]/RawMaterials[[#This Row],[Lab Q Model Units 4]]</f>
        <v>#N/A</v>
      </c>
      <c r="AF462" s="367" t="str">
        <f ca="1">IF(RawMaterials[[#This Row],[Lab Quote Count]]&gt;1,SLOPE(LOG(INDIRECT("RawMaterials[@[Lab Unit P 1]:[Lab Unit P "&amp;RawMaterials[[#This Row],[Lab Quote Count]]&amp;"]]")),LOG(INDIRECT("RawMaterials[@[Lab Q Model Units 1]:[Lab Q Model Units "&amp;RawMaterials[[#This Row],[Lab Quote Count]]&amp;"]]"))),"")</f>
        <v/>
      </c>
      <c r="AG462" s="367" t="str">
        <f ca="1">IF(RawMaterials[[#This Row],[Lab Quote Count]]&gt;1,INTERCEPT(LOG(INDIRECT("RawMaterials[@[Lab Unit P 1]:[Lab Unit P "&amp;RawMaterials[[#This Row],[Lab Quote Count]]&amp;"]]")),LOG(INDIRECT("RawMaterials[@[Lab Q Model Units 1]:[Lab Q Model Units "&amp;RawMaterials[[#This Row],[Lab Quote Count]]&amp;"]]"))),"")</f>
        <v/>
      </c>
      <c r="AH462" s="368" t="str">
        <f>IF(RawMaterials[[#This Row],[Material Type]]="Metal Precursor","D13",IF(RawMaterials[[#This Row],[Material Type]]="Ligand","D13","D12"))</f>
        <v>D12</v>
      </c>
      <c r="AI462" s="369" t="str">
        <f ca="1">IF(RawMaterials[[#This Row],[Lab Quote Count]]&gt;1,10^RawMaterials[[#This Row],[Lab Log-Log Intercept]]*INDIRECT(RawMaterials[[#This Row],[Basis Cell]])^RawMaterials[[#This Row],[Lab Log-Log Slope]],"&gt;&gt;&gt; Enter 2 or more lab quotes &lt;&lt;&lt;")</f>
        <v>&gt;&gt;&gt; Enter 2 or more lab quotes &lt;&lt;&lt;</v>
      </c>
      <c r="AJ4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0.55000000000000004</v>
      </c>
      <c r="AL462" s="372">
        <f>IF(ISTEXT(RawMaterials[[#This Row],[Unit price in quote year]]),"Check calcs",RawMaterials[[#This Row],[Unit price in quote year]]/VLOOKUP(RawMaterials[[#This Row],[Quote Year]],ChemPPI[],14,FALSE)*VLOOKUP(BasisYear,ChemPPI[],14,FALSE))</f>
        <v>0.74646849593495956</v>
      </c>
      <c r="AM462" s="373" t="str">
        <f t="shared" si="6"/>
        <v>$/lb (2016)</v>
      </c>
    </row>
    <row r="463" spans="1:39">
      <c r="A463" s="263" t="s">
        <v>1561</v>
      </c>
      <c r="B463" s="264"/>
      <c r="C463" s="271"/>
      <c r="D463" s="365"/>
      <c r="E463" s="264">
        <v>100</v>
      </c>
      <c r="F463" s="264"/>
      <c r="G463" s="271"/>
      <c r="H463" s="271"/>
      <c r="I463" s="268"/>
      <c r="J463" s="271"/>
      <c r="K463" s="271"/>
      <c r="L463" s="271"/>
      <c r="M463" s="271"/>
      <c r="N463" s="271"/>
      <c r="O463" s="271"/>
      <c r="P463" s="265">
        <v>0.60499999999999998</v>
      </c>
      <c r="Q463" s="264">
        <v>1</v>
      </c>
      <c r="R463" s="264" t="s">
        <v>20</v>
      </c>
      <c r="S463" s="264">
        <v>2006</v>
      </c>
      <c r="T463" s="266" t="s">
        <v>163</v>
      </c>
      <c r="U463" s="267">
        <v>42653</v>
      </c>
      <c r="V463" s="269"/>
      <c r="W463" s="366">
        <f>COUNT(RawMaterials[[#This Row],[Lab Quantity 1]:[Lab Quantity 4]])</f>
        <v>0</v>
      </c>
      <c r="X4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3" s="367" t="e">
        <f>RawMaterials[[#This Row],[Lab Price 1]]/RawMaterials[[#This Row],[Lab Q Model Units 1]]</f>
        <v>#N/A</v>
      </c>
      <c r="AC463" s="367" t="e">
        <f>RawMaterials[[#This Row],[Lab Price 2]]/RawMaterials[[#This Row],[Lab Q Model Units 2]]</f>
        <v>#N/A</v>
      </c>
      <c r="AD463" s="367" t="e">
        <f>RawMaterials[[#This Row],[Lab Price 3]]/RawMaterials[[#This Row],[Lab Q Model Units 3]]</f>
        <v>#N/A</v>
      </c>
      <c r="AE463" s="367" t="e">
        <f>RawMaterials[[#This Row],[Lab Price 4]]/RawMaterials[[#This Row],[Lab Q Model Units 4]]</f>
        <v>#N/A</v>
      </c>
      <c r="AF463" s="367" t="str">
        <f ca="1">IF(RawMaterials[[#This Row],[Lab Quote Count]]&gt;1,SLOPE(LOG(INDIRECT("RawMaterials[@[Lab Unit P 1]:[Lab Unit P "&amp;RawMaterials[[#This Row],[Lab Quote Count]]&amp;"]]")),LOG(INDIRECT("RawMaterials[@[Lab Q Model Units 1]:[Lab Q Model Units "&amp;RawMaterials[[#This Row],[Lab Quote Count]]&amp;"]]"))),"")</f>
        <v/>
      </c>
      <c r="AG463" s="367" t="str">
        <f ca="1">IF(RawMaterials[[#This Row],[Lab Quote Count]]&gt;1,INTERCEPT(LOG(INDIRECT("RawMaterials[@[Lab Unit P 1]:[Lab Unit P "&amp;RawMaterials[[#This Row],[Lab Quote Count]]&amp;"]]")),LOG(INDIRECT("RawMaterials[@[Lab Q Model Units 1]:[Lab Q Model Units "&amp;RawMaterials[[#This Row],[Lab Quote Count]]&amp;"]]"))),"")</f>
        <v/>
      </c>
      <c r="AH463" s="368" t="str">
        <f>IF(RawMaterials[[#This Row],[Material Type]]="Metal Precursor","D13",IF(RawMaterials[[#This Row],[Material Type]]="Ligand","D13","D12"))</f>
        <v>D12</v>
      </c>
      <c r="AI463" s="369" t="str">
        <f ca="1">IF(RawMaterials[[#This Row],[Lab Quote Count]]&gt;1,10^RawMaterials[[#This Row],[Lab Log-Log Intercept]]*INDIRECT(RawMaterials[[#This Row],[Basis Cell]])^RawMaterials[[#This Row],[Lab Log-Log Slope]],"&gt;&gt;&gt; Enter 2 or more lab quotes &lt;&lt;&lt;")</f>
        <v>&gt;&gt;&gt; Enter 2 or more lab quotes &lt;&lt;&lt;</v>
      </c>
      <c r="AJ4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63" s="372">
        <f>IF(ISTEXT(RawMaterials[[#This Row],[Unit price in quote year]]),"Check calcs",RawMaterials[[#This Row],[Unit price in quote year]]/VLOOKUP(RawMaterials[[#This Row],[Quote Year]],ChemPPI[],14,FALSE)*VLOOKUP(BasisYear,ChemPPI[],14,FALSE))</f>
        <v>0.82111534552845533</v>
      </c>
      <c r="AM463" s="373" t="str">
        <f t="shared" si="6"/>
        <v>$/lb (2016)</v>
      </c>
    </row>
    <row r="464" spans="1:39">
      <c r="A464" s="263" t="s">
        <v>1562</v>
      </c>
      <c r="B464" s="264"/>
      <c r="C464" s="271"/>
      <c r="D464" s="365"/>
      <c r="E464" s="264">
        <v>100</v>
      </c>
      <c r="F464" s="264"/>
      <c r="G464" s="271"/>
      <c r="H464" s="271"/>
      <c r="I464" s="268"/>
      <c r="J464" s="271"/>
      <c r="K464" s="271"/>
      <c r="L464" s="271"/>
      <c r="M464" s="271"/>
      <c r="N464" s="271"/>
      <c r="O464" s="271"/>
      <c r="P464" s="265">
        <v>1.01</v>
      </c>
      <c r="Q464" s="264">
        <v>1</v>
      </c>
      <c r="R464" s="264" t="s">
        <v>20</v>
      </c>
      <c r="S464" s="264">
        <v>2008</v>
      </c>
      <c r="T464" s="266" t="s">
        <v>163</v>
      </c>
      <c r="U464" s="267">
        <v>42653</v>
      </c>
      <c r="V464" s="269"/>
      <c r="W464" s="366">
        <f>COUNT(RawMaterials[[#This Row],[Lab Quantity 1]:[Lab Quantity 4]])</f>
        <v>0</v>
      </c>
      <c r="X4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4" s="367" t="e">
        <f>RawMaterials[[#This Row],[Lab Price 1]]/RawMaterials[[#This Row],[Lab Q Model Units 1]]</f>
        <v>#N/A</v>
      </c>
      <c r="AC464" s="367" t="e">
        <f>RawMaterials[[#This Row],[Lab Price 2]]/RawMaterials[[#This Row],[Lab Q Model Units 2]]</f>
        <v>#N/A</v>
      </c>
      <c r="AD464" s="367" t="e">
        <f>RawMaterials[[#This Row],[Lab Price 3]]/RawMaterials[[#This Row],[Lab Q Model Units 3]]</f>
        <v>#N/A</v>
      </c>
      <c r="AE464" s="367" t="e">
        <f>RawMaterials[[#This Row],[Lab Price 4]]/RawMaterials[[#This Row],[Lab Q Model Units 4]]</f>
        <v>#N/A</v>
      </c>
      <c r="AF464" s="367" t="str">
        <f ca="1">IF(RawMaterials[[#This Row],[Lab Quote Count]]&gt;1,SLOPE(LOG(INDIRECT("RawMaterials[@[Lab Unit P 1]:[Lab Unit P "&amp;RawMaterials[[#This Row],[Lab Quote Count]]&amp;"]]")),LOG(INDIRECT("RawMaterials[@[Lab Q Model Units 1]:[Lab Q Model Units "&amp;RawMaterials[[#This Row],[Lab Quote Count]]&amp;"]]"))),"")</f>
        <v/>
      </c>
      <c r="AG464" s="367" t="str">
        <f ca="1">IF(RawMaterials[[#This Row],[Lab Quote Count]]&gt;1,INTERCEPT(LOG(INDIRECT("RawMaterials[@[Lab Unit P 1]:[Lab Unit P "&amp;RawMaterials[[#This Row],[Lab Quote Count]]&amp;"]]")),LOG(INDIRECT("RawMaterials[@[Lab Q Model Units 1]:[Lab Q Model Units "&amp;RawMaterials[[#This Row],[Lab Quote Count]]&amp;"]]"))),"")</f>
        <v/>
      </c>
      <c r="AH464" s="368" t="str">
        <f>IF(RawMaterials[[#This Row],[Material Type]]="Metal Precursor","D13",IF(RawMaterials[[#This Row],[Material Type]]="Ligand","D13","D12"))</f>
        <v>D12</v>
      </c>
      <c r="AI464" s="369" t="str">
        <f ca="1">IF(RawMaterials[[#This Row],[Lab Quote Count]]&gt;1,10^RawMaterials[[#This Row],[Lab Log-Log Intercept]]*INDIRECT(RawMaterials[[#This Row],[Basis Cell]])^RawMaterials[[#This Row],[Lab Log-Log Slope]],"&gt;&gt;&gt; Enter 2 or more lab quotes &lt;&lt;&lt;")</f>
        <v>&gt;&gt;&gt; Enter 2 or more lab quotes &lt;&lt;&lt;</v>
      </c>
      <c r="AJ4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1.01</v>
      </c>
      <c r="AL464" s="372">
        <f>IF(ISTEXT(RawMaterials[[#This Row],[Unit price in quote year]]),"Check calcs",RawMaterials[[#This Row],[Unit price in quote year]]/VLOOKUP(RawMaterials[[#This Row],[Quote Year]],ChemPPI[],14,FALSE)*VLOOKUP(BasisYear,ChemPPI[],14,FALSE))</f>
        <v>1.1821259813766662</v>
      </c>
      <c r="AM464" s="373" t="str">
        <f t="shared" ref="AM464:AM527" si="7">CurrencySymbol&amp;"/"&amp;OutMassUnit&amp;" ("&amp;BasisYear&amp;")"</f>
        <v>$/lb (2016)</v>
      </c>
    </row>
    <row r="465" spans="1:39">
      <c r="A465" s="263" t="s">
        <v>1563</v>
      </c>
      <c r="B465" s="264"/>
      <c r="C465" s="271"/>
      <c r="D465" s="365"/>
      <c r="E465" s="264">
        <v>100</v>
      </c>
      <c r="F465" s="264"/>
      <c r="G465" s="271"/>
      <c r="H465" s="271"/>
      <c r="I465" s="268"/>
      <c r="J465" s="271"/>
      <c r="K465" s="271"/>
      <c r="L465" s="271"/>
      <c r="M465" s="271"/>
      <c r="N465" s="271"/>
      <c r="O465" s="271"/>
      <c r="P465" s="265">
        <v>0.47499999999999998</v>
      </c>
      <c r="Q465" s="264">
        <v>1</v>
      </c>
      <c r="R465" s="264" t="s">
        <v>20</v>
      </c>
      <c r="S465" s="264">
        <v>2008</v>
      </c>
      <c r="T465" s="266" t="s">
        <v>163</v>
      </c>
      <c r="U465" s="267">
        <v>42653</v>
      </c>
      <c r="V465" s="269"/>
      <c r="W465" s="366">
        <f>COUNT(RawMaterials[[#This Row],[Lab Quantity 1]:[Lab Quantity 4]])</f>
        <v>0</v>
      </c>
      <c r="X4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5" s="367" t="e">
        <f>RawMaterials[[#This Row],[Lab Price 1]]/RawMaterials[[#This Row],[Lab Q Model Units 1]]</f>
        <v>#N/A</v>
      </c>
      <c r="AC465" s="367" t="e">
        <f>RawMaterials[[#This Row],[Lab Price 2]]/RawMaterials[[#This Row],[Lab Q Model Units 2]]</f>
        <v>#N/A</v>
      </c>
      <c r="AD465" s="367" t="e">
        <f>RawMaterials[[#This Row],[Lab Price 3]]/RawMaterials[[#This Row],[Lab Q Model Units 3]]</f>
        <v>#N/A</v>
      </c>
      <c r="AE465" s="367" t="e">
        <f>RawMaterials[[#This Row],[Lab Price 4]]/RawMaterials[[#This Row],[Lab Q Model Units 4]]</f>
        <v>#N/A</v>
      </c>
      <c r="AF465" s="367" t="str">
        <f ca="1">IF(RawMaterials[[#This Row],[Lab Quote Count]]&gt;1,SLOPE(LOG(INDIRECT("RawMaterials[@[Lab Unit P 1]:[Lab Unit P "&amp;RawMaterials[[#This Row],[Lab Quote Count]]&amp;"]]")),LOG(INDIRECT("RawMaterials[@[Lab Q Model Units 1]:[Lab Q Model Units "&amp;RawMaterials[[#This Row],[Lab Quote Count]]&amp;"]]"))),"")</f>
        <v/>
      </c>
      <c r="AG465" s="367" t="str">
        <f ca="1">IF(RawMaterials[[#This Row],[Lab Quote Count]]&gt;1,INTERCEPT(LOG(INDIRECT("RawMaterials[@[Lab Unit P 1]:[Lab Unit P "&amp;RawMaterials[[#This Row],[Lab Quote Count]]&amp;"]]")),LOG(INDIRECT("RawMaterials[@[Lab Q Model Units 1]:[Lab Q Model Units "&amp;RawMaterials[[#This Row],[Lab Quote Count]]&amp;"]]"))),"")</f>
        <v/>
      </c>
      <c r="AH465" s="368" t="str">
        <f>IF(RawMaterials[[#This Row],[Material Type]]="Metal Precursor","D13",IF(RawMaterials[[#This Row],[Material Type]]="Ligand","D13","D12"))</f>
        <v>D12</v>
      </c>
      <c r="AI465" s="369" t="str">
        <f ca="1">IF(RawMaterials[[#This Row],[Lab Quote Count]]&gt;1,10^RawMaterials[[#This Row],[Lab Log-Log Intercept]]*INDIRECT(RawMaterials[[#This Row],[Basis Cell]])^RawMaterials[[#This Row],[Lab Log-Log Slope]],"&gt;&gt;&gt; Enter 2 or more lab quotes &lt;&lt;&lt;")</f>
        <v>&gt;&gt;&gt; Enter 2 or more lab quotes &lt;&lt;&lt;</v>
      </c>
      <c r="AJ4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0.47499999999999998</v>
      </c>
      <c r="AL465" s="372">
        <f>IF(ISTEXT(RawMaterials[[#This Row],[Unit price in quote year]]),"Check calcs",RawMaterials[[#This Row],[Unit price in quote year]]/VLOOKUP(RawMaterials[[#This Row],[Quote Year]],ChemPPI[],14,FALSE)*VLOOKUP(BasisYear,ChemPPI[],14,FALSE))</f>
        <v>0.55595033777615488</v>
      </c>
      <c r="AM465" s="373" t="str">
        <f t="shared" si="7"/>
        <v>$/lb (2016)</v>
      </c>
    </row>
    <row r="466" spans="1:39">
      <c r="A466" s="263" t="s">
        <v>1564</v>
      </c>
      <c r="B466" s="264"/>
      <c r="C466" s="271"/>
      <c r="D466" s="365"/>
      <c r="E466" s="264">
        <v>100</v>
      </c>
      <c r="F466" s="264"/>
      <c r="G466" s="271"/>
      <c r="H466" s="271"/>
      <c r="I466" s="268"/>
      <c r="J466" s="271"/>
      <c r="K466" s="271"/>
      <c r="L466" s="271"/>
      <c r="M466" s="271"/>
      <c r="N466" s="271"/>
      <c r="O466" s="271"/>
      <c r="P466" s="265">
        <v>0.51</v>
      </c>
      <c r="Q466" s="264">
        <v>1</v>
      </c>
      <c r="R466" s="264" t="s">
        <v>20</v>
      </c>
      <c r="S466" s="264">
        <v>2008</v>
      </c>
      <c r="T466" s="266" t="s">
        <v>163</v>
      </c>
      <c r="U466" s="267">
        <v>42653</v>
      </c>
      <c r="V466" s="269"/>
      <c r="W466" s="366">
        <f>COUNT(RawMaterials[[#This Row],[Lab Quantity 1]:[Lab Quantity 4]])</f>
        <v>0</v>
      </c>
      <c r="X4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6" s="367" t="e">
        <f>RawMaterials[[#This Row],[Lab Price 1]]/RawMaterials[[#This Row],[Lab Q Model Units 1]]</f>
        <v>#N/A</v>
      </c>
      <c r="AC466" s="367" t="e">
        <f>RawMaterials[[#This Row],[Lab Price 2]]/RawMaterials[[#This Row],[Lab Q Model Units 2]]</f>
        <v>#N/A</v>
      </c>
      <c r="AD466" s="367" t="e">
        <f>RawMaterials[[#This Row],[Lab Price 3]]/RawMaterials[[#This Row],[Lab Q Model Units 3]]</f>
        <v>#N/A</v>
      </c>
      <c r="AE466" s="367" t="e">
        <f>RawMaterials[[#This Row],[Lab Price 4]]/RawMaterials[[#This Row],[Lab Q Model Units 4]]</f>
        <v>#N/A</v>
      </c>
      <c r="AF466" s="367" t="str">
        <f ca="1">IF(RawMaterials[[#This Row],[Lab Quote Count]]&gt;1,SLOPE(LOG(INDIRECT("RawMaterials[@[Lab Unit P 1]:[Lab Unit P "&amp;RawMaterials[[#This Row],[Lab Quote Count]]&amp;"]]")),LOG(INDIRECT("RawMaterials[@[Lab Q Model Units 1]:[Lab Q Model Units "&amp;RawMaterials[[#This Row],[Lab Quote Count]]&amp;"]]"))),"")</f>
        <v/>
      </c>
      <c r="AG466" s="367" t="str">
        <f ca="1">IF(RawMaterials[[#This Row],[Lab Quote Count]]&gt;1,INTERCEPT(LOG(INDIRECT("RawMaterials[@[Lab Unit P 1]:[Lab Unit P "&amp;RawMaterials[[#This Row],[Lab Quote Count]]&amp;"]]")),LOG(INDIRECT("RawMaterials[@[Lab Q Model Units 1]:[Lab Q Model Units "&amp;RawMaterials[[#This Row],[Lab Quote Count]]&amp;"]]"))),"")</f>
        <v/>
      </c>
      <c r="AH466" s="368" t="str">
        <f>IF(RawMaterials[[#This Row],[Material Type]]="Metal Precursor","D13",IF(RawMaterials[[#This Row],[Material Type]]="Ligand","D13","D12"))</f>
        <v>D12</v>
      </c>
      <c r="AI466" s="369" t="str">
        <f ca="1">IF(RawMaterials[[#This Row],[Lab Quote Count]]&gt;1,10^RawMaterials[[#This Row],[Lab Log-Log Intercept]]*INDIRECT(RawMaterials[[#This Row],[Basis Cell]])^RawMaterials[[#This Row],[Lab Log-Log Slope]],"&gt;&gt;&gt; Enter 2 or more lab quotes &lt;&lt;&lt;")</f>
        <v>&gt;&gt;&gt; Enter 2 or more lab quotes &lt;&lt;&lt;</v>
      </c>
      <c r="AJ4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0.51</v>
      </c>
      <c r="AL466" s="372">
        <f>IF(ISTEXT(RawMaterials[[#This Row],[Unit price in quote year]]),"Check calcs",RawMaterials[[#This Row],[Unit price in quote year]]/VLOOKUP(RawMaterials[[#This Row],[Quote Year]],ChemPPI[],14,FALSE)*VLOOKUP(BasisYear,ChemPPI[],14,FALSE))</f>
        <v>0.59691509950702948</v>
      </c>
      <c r="AM466" s="373" t="str">
        <f t="shared" si="7"/>
        <v>$/lb (2016)</v>
      </c>
    </row>
    <row r="467" spans="1:39">
      <c r="A467" s="263" t="s">
        <v>1565</v>
      </c>
      <c r="B467" s="264"/>
      <c r="C467" s="271"/>
      <c r="D467" s="365"/>
      <c r="E467" s="264">
        <v>100</v>
      </c>
      <c r="F467" s="264"/>
      <c r="G467" s="271"/>
      <c r="H467" s="271"/>
      <c r="I467" s="268"/>
      <c r="J467" s="271"/>
      <c r="K467" s="271"/>
      <c r="L467" s="271"/>
      <c r="M467" s="271"/>
      <c r="N467" s="271"/>
      <c r="O467" s="271"/>
      <c r="P467" s="265">
        <v>0.59</v>
      </c>
      <c r="Q467" s="264">
        <v>1</v>
      </c>
      <c r="R467" s="264" t="s">
        <v>20</v>
      </c>
      <c r="S467" s="264">
        <v>2008</v>
      </c>
      <c r="T467" s="266" t="s">
        <v>163</v>
      </c>
      <c r="U467" s="267">
        <v>42653</v>
      </c>
      <c r="V467" s="269"/>
      <c r="W467" s="366">
        <f>COUNT(RawMaterials[[#This Row],[Lab Quantity 1]:[Lab Quantity 4]])</f>
        <v>0</v>
      </c>
      <c r="X4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7" s="367" t="e">
        <f>RawMaterials[[#This Row],[Lab Price 1]]/RawMaterials[[#This Row],[Lab Q Model Units 1]]</f>
        <v>#N/A</v>
      </c>
      <c r="AC467" s="367" t="e">
        <f>RawMaterials[[#This Row],[Lab Price 2]]/RawMaterials[[#This Row],[Lab Q Model Units 2]]</f>
        <v>#N/A</v>
      </c>
      <c r="AD467" s="367" t="e">
        <f>RawMaterials[[#This Row],[Lab Price 3]]/RawMaterials[[#This Row],[Lab Q Model Units 3]]</f>
        <v>#N/A</v>
      </c>
      <c r="AE467" s="367" t="e">
        <f>RawMaterials[[#This Row],[Lab Price 4]]/RawMaterials[[#This Row],[Lab Q Model Units 4]]</f>
        <v>#N/A</v>
      </c>
      <c r="AF467" s="367" t="str">
        <f ca="1">IF(RawMaterials[[#This Row],[Lab Quote Count]]&gt;1,SLOPE(LOG(INDIRECT("RawMaterials[@[Lab Unit P 1]:[Lab Unit P "&amp;RawMaterials[[#This Row],[Lab Quote Count]]&amp;"]]")),LOG(INDIRECT("RawMaterials[@[Lab Q Model Units 1]:[Lab Q Model Units "&amp;RawMaterials[[#This Row],[Lab Quote Count]]&amp;"]]"))),"")</f>
        <v/>
      </c>
      <c r="AG467" s="367" t="str">
        <f ca="1">IF(RawMaterials[[#This Row],[Lab Quote Count]]&gt;1,INTERCEPT(LOG(INDIRECT("RawMaterials[@[Lab Unit P 1]:[Lab Unit P "&amp;RawMaterials[[#This Row],[Lab Quote Count]]&amp;"]]")),LOG(INDIRECT("RawMaterials[@[Lab Q Model Units 1]:[Lab Q Model Units "&amp;RawMaterials[[#This Row],[Lab Quote Count]]&amp;"]]"))),"")</f>
        <v/>
      </c>
      <c r="AH467" s="368" t="str">
        <f>IF(RawMaterials[[#This Row],[Material Type]]="Metal Precursor","D13",IF(RawMaterials[[#This Row],[Material Type]]="Ligand","D13","D12"))</f>
        <v>D12</v>
      </c>
      <c r="AI467" s="369" t="str">
        <f ca="1">IF(RawMaterials[[#This Row],[Lab Quote Count]]&gt;1,10^RawMaterials[[#This Row],[Lab Log-Log Intercept]]*INDIRECT(RawMaterials[[#This Row],[Basis Cell]])^RawMaterials[[#This Row],[Lab Log-Log Slope]],"&gt;&gt;&gt; Enter 2 or more lab quotes &lt;&lt;&lt;")</f>
        <v>&gt;&gt;&gt; Enter 2 or more lab quotes &lt;&lt;&lt;</v>
      </c>
      <c r="AJ4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0.59</v>
      </c>
      <c r="AL467" s="372">
        <f>IF(ISTEXT(RawMaterials[[#This Row],[Unit price in quote year]]),"Check calcs",RawMaterials[[#This Row],[Unit price in quote year]]/VLOOKUP(RawMaterials[[#This Row],[Quote Year]],ChemPPI[],14,FALSE)*VLOOKUP(BasisYear,ChemPPI[],14,FALSE))</f>
        <v>0.69054884060617128</v>
      </c>
      <c r="AM467" s="373" t="str">
        <f t="shared" si="7"/>
        <v>$/lb (2016)</v>
      </c>
    </row>
    <row r="468" spans="1:39">
      <c r="A468" s="263" t="s">
        <v>1566</v>
      </c>
      <c r="B468" s="264"/>
      <c r="C468" s="271"/>
      <c r="D468" s="365"/>
      <c r="E468" s="264">
        <v>100</v>
      </c>
      <c r="F468" s="264"/>
      <c r="G468" s="271"/>
      <c r="H468" s="271"/>
      <c r="I468" s="268"/>
      <c r="J468" s="271"/>
      <c r="K468" s="271"/>
      <c r="L468" s="271"/>
      <c r="M468" s="271"/>
      <c r="N468" s="271"/>
      <c r="O468" s="271"/>
      <c r="P468" s="265">
        <v>0.67500000000000004</v>
      </c>
      <c r="Q468" s="264">
        <v>1</v>
      </c>
      <c r="R468" s="264" t="s">
        <v>20</v>
      </c>
      <c r="S468" s="264">
        <v>2008</v>
      </c>
      <c r="T468" s="266" t="s">
        <v>163</v>
      </c>
      <c r="U468" s="267">
        <v>42653</v>
      </c>
      <c r="V468" s="269"/>
      <c r="W468" s="366">
        <f>COUNT(RawMaterials[[#This Row],[Lab Quantity 1]:[Lab Quantity 4]])</f>
        <v>0</v>
      </c>
      <c r="X4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8" s="367" t="e">
        <f>RawMaterials[[#This Row],[Lab Price 1]]/RawMaterials[[#This Row],[Lab Q Model Units 1]]</f>
        <v>#N/A</v>
      </c>
      <c r="AC468" s="367" t="e">
        <f>RawMaterials[[#This Row],[Lab Price 2]]/RawMaterials[[#This Row],[Lab Q Model Units 2]]</f>
        <v>#N/A</v>
      </c>
      <c r="AD468" s="367" t="e">
        <f>RawMaterials[[#This Row],[Lab Price 3]]/RawMaterials[[#This Row],[Lab Q Model Units 3]]</f>
        <v>#N/A</v>
      </c>
      <c r="AE468" s="367" t="e">
        <f>RawMaterials[[#This Row],[Lab Price 4]]/RawMaterials[[#This Row],[Lab Q Model Units 4]]</f>
        <v>#N/A</v>
      </c>
      <c r="AF468" s="367" t="str">
        <f ca="1">IF(RawMaterials[[#This Row],[Lab Quote Count]]&gt;1,SLOPE(LOG(INDIRECT("RawMaterials[@[Lab Unit P 1]:[Lab Unit P "&amp;RawMaterials[[#This Row],[Lab Quote Count]]&amp;"]]")),LOG(INDIRECT("RawMaterials[@[Lab Q Model Units 1]:[Lab Q Model Units "&amp;RawMaterials[[#This Row],[Lab Quote Count]]&amp;"]]"))),"")</f>
        <v/>
      </c>
      <c r="AG468" s="367" t="str">
        <f ca="1">IF(RawMaterials[[#This Row],[Lab Quote Count]]&gt;1,INTERCEPT(LOG(INDIRECT("RawMaterials[@[Lab Unit P 1]:[Lab Unit P "&amp;RawMaterials[[#This Row],[Lab Quote Count]]&amp;"]]")),LOG(INDIRECT("RawMaterials[@[Lab Q Model Units 1]:[Lab Q Model Units "&amp;RawMaterials[[#This Row],[Lab Quote Count]]&amp;"]]"))),"")</f>
        <v/>
      </c>
      <c r="AH468" s="368" t="str">
        <f>IF(RawMaterials[[#This Row],[Material Type]]="Metal Precursor","D13",IF(RawMaterials[[#This Row],[Material Type]]="Ligand","D13","D12"))</f>
        <v>D12</v>
      </c>
      <c r="AI468" s="369" t="str">
        <f ca="1">IF(RawMaterials[[#This Row],[Lab Quote Count]]&gt;1,10^RawMaterials[[#This Row],[Lab Log-Log Intercept]]*INDIRECT(RawMaterials[[#This Row],[Basis Cell]])^RawMaterials[[#This Row],[Lab Log-Log Slope]],"&gt;&gt;&gt; Enter 2 or more lab quotes &lt;&lt;&lt;")</f>
        <v>&gt;&gt;&gt; Enter 2 or more lab quotes &lt;&lt;&lt;</v>
      </c>
      <c r="AJ4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468" s="372">
        <f>IF(ISTEXT(RawMaterials[[#This Row],[Unit price in quote year]]),"Check calcs",RawMaterials[[#This Row],[Unit price in quote year]]/VLOOKUP(RawMaterials[[#This Row],[Quote Year]],ChemPPI[],14,FALSE)*VLOOKUP(BasisYear,ChemPPI[],14,FALSE))</f>
        <v>0.79003469052400965</v>
      </c>
      <c r="AM468" s="373" t="str">
        <f t="shared" si="7"/>
        <v>$/lb (2016)</v>
      </c>
    </row>
    <row r="469" spans="1:39">
      <c r="A469" s="263" t="s">
        <v>1567</v>
      </c>
      <c r="B469" s="264"/>
      <c r="C469" s="271"/>
      <c r="D469" s="365"/>
      <c r="E469" s="264">
        <v>100</v>
      </c>
      <c r="F469" s="264"/>
      <c r="G469" s="271"/>
      <c r="H469" s="271"/>
      <c r="I469" s="268"/>
      <c r="J469" s="271"/>
      <c r="K469" s="271"/>
      <c r="L469" s="271"/>
      <c r="M469" s="271"/>
      <c r="N469" s="271"/>
      <c r="O469" s="271"/>
      <c r="P469" s="265">
        <v>0.70499999999999996</v>
      </c>
      <c r="Q469" s="264">
        <v>1</v>
      </c>
      <c r="R469" s="264" t="s">
        <v>20</v>
      </c>
      <c r="S469" s="264">
        <v>2008</v>
      </c>
      <c r="T469" s="266" t="s">
        <v>163</v>
      </c>
      <c r="U469" s="267">
        <v>42653</v>
      </c>
      <c r="V469" s="269"/>
      <c r="W469" s="366">
        <f>COUNT(RawMaterials[[#This Row],[Lab Quantity 1]:[Lab Quantity 4]])</f>
        <v>0</v>
      </c>
      <c r="X4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69" s="367" t="e">
        <f>RawMaterials[[#This Row],[Lab Price 1]]/RawMaterials[[#This Row],[Lab Q Model Units 1]]</f>
        <v>#N/A</v>
      </c>
      <c r="AC469" s="367" t="e">
        <f>RawMaterials[[#This Row],[Lab Price 2]]/RawMaterials[[#This Row],[Lab Q Model Units 2]]</f>
        <v>#N/A</v>
      </c>
      <c r="AD469" s="367" t="e">
        <f>RawMaterials[[#This Row],[Lab Price 3]]/RawMaterials[[#This Row],[Lab Q Model Units 3]]</f>
        <v>#N/A</v>
      </c>
      <c r="AE469" s="367" t="e">
        <f>RawMaterials[[#This Row],[Lab Price 4]]/RawMaterials[[#This Row],[Lab Q Model Units 4]]</f>
        <v>#N/A</v>
      </c>
      <c r="AF469" s="367" t="str">
        <f ca="1">IF(RawMaterials[[#This Row],[Lab Quote Count]]&gt;1,SLOPE(LOG(INDIRECT("RawMaterials[@[Lab Unit P 1]:[Lab Unit P "&amp;RawMaterials[[#This Row],[Lab Quote Count]]&amp;"]]")),LOG(INDIRECT("RawMaterials[@[Lab Q Model Units 1]:[Lab Q Model Units "&amp;RawMaterials[[#This Row],[Lab Quote Count]]&amp;"]]"))),"")</f>
        <v/>
      </c>
      <c r="AG469" s="367" t="str">
        <f ca="1">IF(RawMaterials[[#This Row],[Lab Quote Count]]&gt;1,INTERCEPT(LOG(INDIRECT("RawMaterials[@[Lab Unit P 1]:[Lab Unit P "&amp;RawMaterials[[#This Row],[Lab Quote Count]]&amp;"]]")),LOG(INDIRECT("RawMaterials[@[Lab Q Model Units 1]:[Lab Q Model Units "&amp;RawMaterials[[#This Row],[Lab Quote Count]]&amp;"]]"))),"")</f>
        <v/>
      </c>
      <c r="AH469" s="368" t="str">
        <f>IF(RawMaterials[[#This Row],[Material Type]]="Metal Precursor","D13",IF(RawMaterials[[#This Row],[Material Type]]="Ligand","D13","D12"))</f>
        <v>D12</v>
      </c>
      <c r="AI469" s="369" t="str">
        <f ca="1">IF(RawMaterials[[#This Row],[Lab Quote Count]]&gt;1,10^RawMaterials[[#This Row],[Lab Log-Log Intercept]]*INDIRECT(RawMaterials[[#This Row],[Basis Cell]])^RawMaterials[[#This Row],[Lab Log-Log Slope]],"&gt;&gt;&gt; Enter 2 or more lab quotes &lt;&lt;&lt;")</f>
        <v>&gt;&gt;&gt; Enter 2 or more lab quotes &lt;&lt;&lt;</v>
      </c>
      <c r="AJ4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0.70499999999999996</v>
      </c>
      <c r="AL469" s="372">
        <f>IF(ISTEXT(RawMaterials[[#This Row],[Unit price in quote year]]),"Check calcs",RawMaterials[[#This Row],[Unit price in quote year]]/VLOOKUP(RawMaterials[[#This Row],[Quote Year]],ChemPPI[],14,FALSE)*VLOOKUP(BasisYear,ChemPPI[],14,FALSE))</f>
        <v>0.82514734343618767</v>
      </c>
      <c r="AM469" s="373" t="str">
        <f t="shared" si="7"/>
        <v>$/lb (2016)</v>
      </c>
    </row>
    <row r="470" spans="1:39">
      <c r="A470" s="263" t="s">
        <v>1568</v>
      </c>
      <c r="B470" s="264"/>
      <c r="C470" s="271"/>
      <c r="D470" s="365"/>
      <c r="E470" s="264">
        <v>100</v>
      </c>
      <c r="F470" s="264"/>
      <c r="G470" s="271"/>
      <c r="H470" s="271"/>
      <c r="I470" s="268"/>
      <c r="J470" s="271"/>
      <c r="K470" s="271"/>
      <c r="L470" s="271"/>
      <c r="M470" s="271"/>
      <c r="N470" s="271"/>
      <c r="O470" s="271"/>
      <c r="P470" s="265">
        <v>0.72</v>
      </c>
      <c r="Q470" s="264">
        <v>1</v>
      </c>
      <c r="R470" s="264" t="s">
        <v>20</v>
      </c>
      <c r="S470" s="264">
        <v>2008</v>
      </c>
      <c r="T470" s="266" t="s">
        <v>163</v>
      </c>
      <c r="U470" s="267">
        <v>42653</v>
      </c>
      <c r="V470" s="269"/>
      <c r="W470" s="366">
        <f>COUNT(RawMaterials[[#This Row],[Lab Quantity 1]:[Lab Quantity 4]])</f>
        <v>0</v>
      </c>
      <c r="X4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0" s="367" t="e">
        <f>RawMaterials[[#This Row],[Lab Price 1]]/RawMaterials[[#This Row],[Lab Q Model Units 1]]</f>
        <v>#N/A</v>
      </c>
      <c r="AC470" s="367" t="e">
        <f>RawMaterials[[#This Row],[Lab Price 2]]/RawMaterials[[#This Row],[Lab Q Model Units 2]]</f>
        <v>#N/A</v>
      </c>
      <c r="AD470" s="367" t="e">
        <f>RawMaterials[[#This Row],[Lab Price 3]]/RawMaterials[[#This Row],[Lab Q Model Units 3]]</f>
        <v>#N/A</v>
      </c>
      <c r="AE470" s="367" t="e">
        <f>RawMaterials[[#This Row],[Lab Price 4]]/RawMaterials[[#This Row],[Lab Q Model Units 4]]</f>
        <v>#N/A</v>
      </c>
      <c r="AF470" s="367" t="str">
        <f ca="1">IF(RawMaterials[[#This Row],[Lab Quote Count]]&gt;1,SLOPE(LOG(INDIRECT("RawMaterials[@[Lab Unit P 1]:[Lab Unit P "&amp;RawMaterials[[#This Row],[Lab Quote Count]]&amp;"]]")),LOG(INDIRECT("RawMaterials[@[Lab Q Model Units 1]:[Lab Q Model Units "&amp;RawMaterials[[#This Row],[Lab Quote Count]]&amp;"]]"))),"")</f>
        <v/>
      </c>
      <c r="AG470" s="367" t="str">
        <f ca="1">IF(RawMaterials[[#This Row],[Lab Quote Count]]&gt;1,INTERCEPT(LOG(INDIRECT("RawMaterials[@[Lab Unit P 1]:[Lab Unit P "&amp;RawMaterials[[#This Row],[Lab Quote Count]]&amp;"]]")),LOG(INDIRECT("RawMaterials[@[Lab Q Model Units 1]:[Lab Q Model Units "&amp;RawMaterials[[#This Row],[Lab Quote Count]]&amp;"]]"))),"")</f>
        <v/>
      </c>
      <c r="AH470" s="368" t="str">
        <f>IF(RawMaterials[[#This Row],[Material Type]]="Metal Precursor","D13",IF(RawMaterials[[#This Row],[Material Type]]="Ligand","D13","D12"))</f>
        <v>D12</v>
      </c>
      <c r="AI470" s="369" t="str">
        <f ca="1">IF(RawMaterials[[#This Row],[Lab Quote Count]]&gt;1,10^RawMaterials[[#This Row],[Lab Log-Log Intercept]]*INDIRECT(RawMaterials[[#This Row],[Basis Cell]])^RawMaterials[[#This Row],[Lab Log-Log Slope]],"&gt;&gt;&gt; Enter 2 or more lab quotes &lt;&lt;&lt;")</f>
        <v>&gt;&gt;&gt; Enter 2 or more lab quotes &lt;&lt;&lt;</v>
      </c>
      <c r="AJ4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v>
      </c>
      <c r="AL470" s="372">
        <f>IF(ISTEXT(RawMaterials[[#This Row],[Unit price in quote year]]),"Check calcs",RawMaterials[[#This Row],[Unit price in quote year]]/VLOOKUP(RawMaterials[[#This Row],[Quote Year]],ChemPPI[],14,FALSE)*VLOOKUP(BasisYear,ChemPPI[],14,FALSE))</f>
        <v>0.84270366989227674</v>
      </c>
      <c r="AM470" s="373" t="str">
        <f t="shared" si="7"/>
        <v>$/lb (2016)</v>
      </c>
    </row>
    <row r="471" spans="1:39">
      <c r="A471" s="263" t="s">
        <v>1569</v>
      </c>
      <c r="B471" s="264"/>
      <c r="C471" s="271"/>
      <c r="D471" s="365"/>
      <c r="E471" s="264">
        <v>100</v>
      </c>
      <c r="F471" s="264"/>
      <c r="G471" s="271"/>
      <c r="H471" s="271"/>
      <c r="I471" s="268"/>
      <c r="J471" s="271"/>
      <c r="K471" s="271"/>
      <c r="L471" s="271"/>
      <c r="M471" s="271"/>
      <c r="N471" s="271"/>
      <c r="O471" s="271"/>
      <c r="P471" s="265">
        <v>0.65500000000000003</v>
      </c>
      <c r="Q471" s="264">
        <v>1</v>
      </c>
      <c r="R471" s="264" t="s">
        <v>20</v>
      </c>
      <c r="S471" s="264">
        <v>2008</v>
      </c>
      <c r="T471" s="266" t="s">
        <v>163</v>
      </c>
      <c r="U471" s="267">
        <v>42653</v>
      </c>
      <c r="V471" s="269"/>
      <c r="W471" s="366">
        <f>COUNT(RawMaterials[[#This Row],[Lab Quantity 1]:[Lab Quantity 4]])</f>
        <v>0</v>
      </c>
      <c r="X4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1" s="367" t="e">
        <f>RawMaterials[[#This Row],[Lab Price 1]]/RawMaterials[[#This Row],[Lab Q Model Units 1]]</f>
        <v>#N/A</v>
      </c>
      <c r="AC471" s="367" t="e">
        <f>RawMaterials[[#This Row],[Lab Price 2]]/RawMaterials[[#This Row],[Lab Q Model Units 2]]</f>
        <v>#N/A</v>
      </c>
      <c r="AD471" s="367" t="e">
        <f>RawMaterials[[#This Row],[Lab Price 3]]/RawMaterials[[#This Row],[Lab Q Model Units 3]]</f>
        <v>#N/A</v>
      </c>
      <c r="AE471" s="367" t="e">
        <f>RawMaterials[[#This Row],[Lab Price 4]]/RawMaterials[[#This Row],[Lab Q Model Units 4]]</f>
        <v>#N/A</v>
      </c>
      <c r="AF471" s="367" t="str">
        <f ca="1">IF(RawMaterials[[#This Row],[Lab Quote Count]]&gt;1,SLOPE(LOG(INDIRECT("RawMaterials[@[Lab Unit P 1]:[Lab Unit P "&amp;RawMaterials[[#This Row],[Lab Quote Count]]&amp;"]]")),LOG(INDIRECT("RawMaterials[@[Lab Q Model Units 1]:[Lab Q Model Units "&amp;RawMaterials[[#This Row],[Lab Quote Count]]&amp;"]]"))),"")</f>
        <v/>
      </c>
      <c r="AG471" s="367" t="str">
        <f ca="1">IF(RawMaterials[[#This Row],[Lab Quote Count]]&gt;1,INTERCEPT(LOG(INDIRECT("RawMaterials[@[Lab Unit P 1]:[Lab Unit P "&amp;RawMaterials[[#This Row],[Lab Quote Count]]&amp;"]]")),LOG(INDIRECT("RawMaterials[@[Lab Q Model Units 1]:[Lab Q Model Units "&amp;RawMaterials[[#This Row],[Lab Quote Count]]&amp;"]]"))),"")</f>
        <v/>
      </c>
      <c r="AH471" s="368" t="str">
        <f>IF(RawMaterials[[#This Row],[Material Type]]="Metal Precursor","D13",IF(RawMaterials[[#This Row],[Material Type]]="Ligand","D13","D12"))</f>
        <v>D12</v>
      </c>
      <c r="AI471" s="369" t="str">
        <f ca="1">IF(RawMaterials[[#This Row],[Lab Quote Count]]&gt;1,10^RawMaterials[[#This Row],[Lab Log-Log Intercept]]*INDIRECT(RawMaterials[[#This Row],[Basis Cell]])^RawMaterials[[#This Row],[Lab Log-Log Slope]],"&gt;&gt;&gt; Enter 2 or more lab quotes &lt;&lt;&lt;")</f>
        <v>&gt;&gt;&gt; Enter 2 or more lab quotes &lt;&lt;&lt;</v>
      </c>
      <c r="AJ4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471" s="372">
        <f>IF(ISTEXT(RawMaterials[[#This Row],[Unit price in quote year]]),"Check calcs",RawMaterials[[#This Row],[Unit price in quote year]]/VLOOKUP(RawMaterials[[#This Row],[Quote Year]],ChemPPI[],14,FALSE)*VLOOKUP(BasisYear,ChemPPI[],14,FALSE))</f>
        <v>0.76662625524922401</v>
      </c>
      <c r="AM471" s="373" t="str">
        <f t="shared" si="7"/>
        <v>$/lb (2016)</v>
      </c>
    </row>
    <row r="472" spans="1:39">
      <c r="A472" s="263" t="s">
        <v>1570</v>
      </c>
      <c r="B472" s="264"/>
      <c r="C472" s="271"/>
      <c r="D472" s="365"/>
      <c r="E472" s="264">
        <v>100</v>
      </c>
      <c r="F472" s="264"/>
      <c r="G472" s="271"/>
      <c r="H472" s="271"/>
      <c r="I472" s="268"/>
      <c r="J472" s="271"/>
      <c r="K472" s="271"/>
      <c r="L472" s="271"/>
      <c r="M472" s="271"/>
      <c r="N472" s="271"/>
      <c r="O472" s="271"/>
      <c r="P472" s="265">
        <v>0.60499999999999998</v>
      </c>
      <c r="Q472" s="264">
        <v>1</v>
      </c>
      <c r="R472" s="264" t="s">
        <v>20</v>
      </c>
      <c r="S472" s="264">
        <v>2008</v>
      </c>
      <c r="T472" s="266" t="s">
        <v>163</v>
      </c>
      <c r="U472" s="267">
        <v>42653</v>
      </c>
      <c r="V472" s="269"/>
      <c r="W472" s="366">
        <f>COUNT(RawMaterials[[#This Row],[Lab Quantity 1]:[Lab Quantity 4]])</f>
        <v>0</v>
      </c>
      <c r="X4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2" s="367" t="e">
        <f>RawMaterials[[#This Row],[Lab Price 1]]/RawMaterials[[#This Row],[Lab Q Model Units 1]]</f>
        <v>#N/A</v>
      </c>
      <c r="AC472" s="367" t="e">
        <f>RawMaterials[[#This Row],[Lab Price 2]]/RawMaterials[[#This Row],[Lab Q Model Units 2]]</f>
        <v>#N/A</v>
      </c>
      <c r="AD472" s="367" t="e">
        <f>RawMaterials[[#This Row],[Lab Price 3]]/RawMaterials[[#This Row],[Lab Q Model Units 3]]</f>
        <v>#N/A</v>
      </c>
      <c r="AE472" s="367" t="e">
        <f>RawMaterials[[#This Row],[Lab Price 4]]/RawMaterials[[#This Row],[Lab Q Model Units 4]]</f>
        <v>#N/A</v>
      </c>
      <c r="AF472" s="367" t="str">
        <f ca="1">IF(RawMaterials[[#This Row],[Lab Quote Count]]&gt;1,SLOPE(LOG(INDIRECT("RawMaterials[@[Lab Unit P 1]:[Lab Unit P "&amp;RawMaterials[[#This Row],[Lab Quote Count]]&amp;"]]")),LOG(INDIRECT("RawMaterials[@[Lab Q Model Units 1]:[Lab Q Model Units "&amp;RawMaterials[[#This Row],[Lab Quote Count]]&amp;"]]"))),"")</f>
        <v/>
      </c>
      <c r="AG472" s="367" t="str">
        <f ca="1">IF(RawMaterials[[#This Row],[Lab Quote Count]]&gt;1,INTERCEPT(LOG(INDIRECT("RawMaterials[@[Lab Unit P 1]:[Lab Unit P "&amp;RawMaterials[[#This Row],[Lab Quote Count]]&amp;"]]")),LOG(INDIRECT("RawMaterials[@[Lab Q Model Units 1]:[Lab Q Model Units "&amp;RawMaterials[[#This Row],[Lab Quote Count]]&amp;"]]"))),"")</f>
        <v/>
      </c>
      <c r="AH472" s="368" t="str">
        <f>IF(RawMaterials[[#This Row],[Material Type]]="Metal Precursor","D13",IF(RawMaterials[[#This Row],[Material Type]]="Ligand","D13","D12"))</f>
        <v>D12</v>
      </c>
      <c r="AI472" s="369" t="str">
        <f ca="1">IF(RawMaterials[[#This Row],[Lab Quote Count]]&gt;1,10^RawMaterials[[#This Row],[Lab Log-Log Intercept]]*INDIRECT(RawMaterials[[#This Row],[Basis Cell]])^RawMaterials[[#This Row],[Lab Log-Log Slope]],"&gt;&gt;&gt; Enter 2 or more lab quotes &lt;&lt;&lt;")</f>
        <v>&gt;&gt;&gt; Enter 2 or more lab quotes &lt;&lt;&lt;</v>
      </c>
      <c r="AJ4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0.60499999999999998</v>
      </c>
      <c r="AL472" s="372">
        <f>IF(ISTEXT(RawMaterials[[#This Row],[Unit price in quote year]]),"Check calcs",RawMaterials[[#This Row],[Unit price in quote year]]/VLOOKUP(RawMaterials[[#This Row],[Quote Year]],ChemPPI[],14,FALSE)*VLOOKUP(BasisYear,ChemPPI[],14,FALSE))</f>
        <v>0.70810516706226045</v>
      </c>
      <c r="AM472" s="373" t="str">
        <f t="shared" si="7"/>
        <v>$/lb (2016)</v>
      </c>
    </row>
    <row r="473" spans="1:39">
      <c r="A473" s="263" t="s">
        <v>1571</v>
      </c>
      <c r="B473" s="264"/>
      <c r="C473" s="271"/>
      <c r="D473" s="365"/>
      <c r="E473" s="264">
        <v>100</v>
      </c>
      <c r="F473" s="264"/>
      <c r="G473" s="271"/>
      <c r="H473" s="271"/>
      <c r="I473" s="268"/>
      <c r="J473" s="271"/>
      <c r="K473" s="271"/>
      <c r="L473" s="271"/>
      <c r="M473" s="271"/>
      <c r="N473" s="271"/>
      <c r="O473" s="271"/>
      <c r="P473" s="265">
        <v>0.68</v>
      </c>
      <c r="Q473" s="264">
        <v>1</v>
      </c>
      <c r="R473" s="264" t="s">
        <v>20</v>
      </c>
      <c r="S473" s="264">
        <v>2008</v>
      </c>
      <c r="T473" s="266" t="s">
        <v>163</v>
      </c>
      <c r="U473" s="267">
        <v>42653</v>
      </c>
      <c r="V473" s="269"/>
      <c r="W473" s="366">
        <f>COUNT(RawMaterials[[#This Row],[Lab Quantity 1]:[Lab Quantity 4]])</f>
        <v>0</v>
      </c>
      <c r="X4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3" s="367" t="e">
        <f>RawMaterials[[#This Row],[Lab Price 1]]/RawMaterials[[#This Row],[Lab Q Model Units 1]]</f>
        <v>#N/A</v>
      </c>
      <c r="AC473" s="367" t="e">
        <f>RawMaterials[[#This Row],[Lab Price 2]]/RawMaterials[[#This Row],[Lab Q Model Units 2]]</f>
        <v>#N/A</v>
      </c>
      <c r="AD473" s="367" t="e">
        <f>RawMaterials[[#This Row],[Lab Price 3]]/RawMaterials[[#This Row],[Lab Q Model Units 3]]</f>
        <v>#N/A</v>
      </c>
      <c r="AE473" s="367" t="e">
        <f>RawMaterials[[#This Row],[Lab Price 4]]/RawMaterials[[#This Row],[Lab Q Model Units 4]]</f>
        <v>#N/A</v>
      </c>
      <c r="AF473" s="367" t="str">
        <f ca="1">IF(RawMaterials[[#This Row],[Lab Quote Count]]&gt;1,SLOPE(LOG(INDIRECT("RawMaterials[@[Lab Unit P 1]:[Lab Unit P "&amp;RawMaterials[[#This Row],[Lab Quote Count]]&amp;"]]")),LOG(INDIRECT("RawMaterials[@[Lab Q Model Units 1]:[Lab Q Model Units "&amp;RawMaterials[[#This Row],[Lab Quote Count]]&amp;"]]"))),"")</f>
        <v/>
      </c>
      <c r="AG473" s="367" t="str">
        <f ca="1">IF(RawMaterials[[#This Row],[Lab Quote Count]]&gt;1,INTERCEPT(LOG(INDIRECT("RawMaterials[@[Lab Unit P 1]:[Lab Unit P "&amp;RawMaterials[[#This Row],[Lab Quote Count]]&amp;"]]")),LOG(INDIRECT("RawMaterials[@[Lab Q Model Units 1]:[Lab Q Model Units "&amp;RawMaterials[[#This Row],[Lab Quote Count]]&amp;"]]"))),"")</f>
        <v/>
      </c>
      <c r="AH473" s="368" t="str">
        <f>IF(RawMaterials[[#This Row],[Material Type]]="Metal Precursor","D13",IF(RawMaterials[[#This Row],[Material Type]]="Ligand","D13","D12"))</f>
        <v>D12</v>
      </c>
      <c r="AI473" s="369" t="str">
        <f ca="1">IF(RawMaterials[[#This Row],[Lab Quote Count]]&gt;1,10^RawMaterials[[#This Row],[Lab Log-Log Intercept]]*INDIRECT(RawMaterials[[#This Row],[Basis Cell]])^RawMaterials[[#This Row],[Lab Log-Log Slope]],"&gt;&gt;&gt; Enter 2 or more lab quotes &lt;&lt;&lt;")</f>
        <v>&gt;&gt;&gt; Enter 2 or more lab quotes &lt;&lt;&lt;</v>
      </c>
      <c r="AJ4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473" s="372">
        <f>IF(ISTEXT(RawMaterials[[#This Row],[Unit price in quote year]]),"Check calcs",RawMaterials[[#This Row],[Unit price in quote year]]/VLOOKUP(RawMaterials[[#This Row],[Quote Year]],ChemPPI[],14,FALSE)*VLOOKUP(BasisYear,ChemPPI[],14,FALSE))</f>
        <v>0.79588679934270601</v>
      </c>
      <c r="AM473" s="373" t="str">
        <f t="shared" si="7"/>
        <v>$/lb (2016)</v>
      </c>
    </row>
    <row r="474" spans="1:39">
      <c r="A474" s="263" t="s">
        <v>1572</v>
      </c>
      <c r="B474" s="264"/>
      <c r="C474" s="271"/>
      <c r="D474" s="365"/>
      <c r="E474" s="264">
        <v>100</v>
      </c>
      <c r="F474" s="264"/>
      <c r="G474" s="271"/>
      <c r="H474" s="271"/>
      <c r="I474" s="268"/>
      <c r="J474" s="271"/>
      <c r="K474" s="271"/>
      <c r="L474" s="271"/>
      <c r="M474" s="271"/>
      <c r="N474" s="271"/>
      <c r="O474" s="271"/>
      <c r="P474" s="265">
        <v>0.71</v>
      </c>
      <c r="Q474" s="264">
        <v>1</v>
      </c>
      <c r="R474" s="264" t="s">
        <v>20</v>
      </c>
      <c r="S474" s="264">
        <v>2006</v>
      </c>
      <c r="T474" s="266" t="s">
        <v>163</v>
      </c>
      <c r="U474" s="267">
        <v>42653</v>
      </c>
      <c r="V474" s="269"/>
      <c r="W474" s="366">
        <f>COUNT(RawMaterials[[#This Row],[Lab Quantity 1]:[Lab Quantity 4]])</f>
        <v>0</v>
      </c>
      <c r="X4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4" s="367" t="e">
        <f>RawMaterials[[#This Row],[Lab Price 1]]/RawMaterials[[#This Row],[Lab Q Model Units 1]]</f>
        <v>#N/A</v>
      </c>
      <c r="AC474" s="367" t="e">
        <f>RawMaterials[[#This Row],[Lab Price 2]]/RawMaterials[[#This Row],[Lab Q Model Units 2]]</f>
        <v>#N/A</v>
      </c>
      <c r="AD474" s="367" t="e">
        <f>RawMaterials[[#This Row],[Lab Price 3]]/RawMaterials[[#This Row],[Lab Q Model Units 3]]</f>
        <v>#N/A</v>
      </c>
      <c r="AE474" s="367" t="e">
        <f>RawMaterials[[#This Row],[Lab Price 4]]/RawMaterials[[#This Row],[Lab Q Model Units 4]]</f>
        <v>#N/A</v>
      </c>
      <c r="AF474" s="367" t="str">
        <f ca="1">IF(RawMaterials[[#This Row],[Lab Quote Count]]&gt;1,SLOPE(LOG(INDIRECT("RawMaterials[@[Lab Unit P 1]:[Lab Unit P "&amp;RawMaterials[[#This Row],[Lab Quote Count]]&amp;"]]")),LOG(INDIRECT("RawMaterials[@[Lab Q Model Units 1]:[Lab Q Model Units "&amp;RawMaterials[[#This Row],[Lab Quote Count]]&amp;"]]"))),"")</f>
        <v/>
      </c>
      <c r="AG474" s="367" t="str">
        <f ca="1">IF(RawMaterials[[#This Row],[Lab Quote Count]]&gt;1,INTERCEPT(LOG(INDIRECT("RawMaterials[@[Lab Unit P 1]:[Lab Unit P "&amp;RawMaterials[[#This Row],[Lab Quote Count]]&amp;"]]")),LOG(INDIRECT("RawMaterials[@[Lab Q Model Units 1]:[Lab Q Model Units "&amp;RawMaterials[[#This Row],[Lab Quote Count]]&amp;"]]"))),"")</f>
        <v/>
      </c>
      <c r="AH474" s="368" t="str">
        <f>IF(RawMaterials[[#This Row],[Material Type]]="Metal Precursor","D13",IF(RawMaterials[[#This Row],[Material Type]]="Ligand","D13","D12"))</f>
        <v>D12</v>
      </c>
      <c r="AI474" s="369" t="str">
        <f ca="1">IF(RawMaterials[[#This Row],[Lab Quote Count]]&gt;1,10^RawMaterials[[#This Row],[Lab Log-Log Intercept]]*INDIRECT(RawMaterials[[#This Row],[Basis Cell]])^RawMaterials[[#This Row],[Lab Log-Log Slope]],"&gt;&gt;&gt; Enter 2 or more lab quotes &lt;&lt;&lt;")</f>
        <v>&gt;&gt;&gt; Enter 2 or more lab quotes &lt;&lt;&lt;</v>
      </c>
      <c r="AJ4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0.71</v>
      </c>
      <c r="AL474" s="372">
        <f>IF(ISTEXT(RawMaterials[[#This Row],[Unit price in quote year]]),"Check calcs",RawMaterials[[#This Row],[Unit price in quote year]]/VLOOKUP(RawMaterials[[#This Row],[Quote Year]],ChemPPI[],14,FALSE)*VLOOKUP(BasisYear,ChemPPI[],14,FALSE))</f>
        <v>0.96362296747967491</v>
      </c>
      <c r="AM474" s="373" t="str">
        <f t="shared" si="7"/>
        <v>$/lb (2016)</v>
      </c>
    </row>
    <row r="475" spans="1:39">
      <c r="A475" s="263" t="s">
        <v>1573</v>
      </c>
      <c r="B475" s="264"/>
      <c r="C475" s="271"/>
      <c r="D475" s="365"/>
      <c r="E475" s="264">
        <v>100</v>
      </c>
      <c r="F475" s="264"/>
      <c r="G475" s="271"/>
      <c r="H475" s="271"/>
      <c r="I475" s="268"/>
      <c r="J475" s="271"/>
      <c r="K475" s="271"/>
      <c r="L475" s="271"/>
      <c r="M475" s="271"/>
      <c r="N475" s="271"/>
      <c r="O475" s="271"/>
      <c r="P475" s="265">
        <v>0.81499999999999995</v>
      </c>
      <c r="Q475" s="264">
        <v>1</v>
      </c>
      <c r="R475" s="264" t="s">
        <v>20</v>
      </c>
      <c r="S475" s="264">
        <v>2006</v>
      </c>
      <c r="T475" s="266" t="s">
        <v>163</v>
      </c>
      <c r="U475" s="267">
        <v>42653</v>
      </c>
      <c r="V475" s="269"/>
      <c r="W475" s="366">
        <f>COUNT(RawMaterials[[#This Row],[Lab Quantity 1]:[Lab Quantity 4]])</f>
        <v>0</v>
      </c>
      <c r="X4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5" s="367" t="e">
        <f>RawMaterials[[#This Row],[Lab Price 1]]/RawMaterials[[#This Row],[Lab Q Model Units 1]]</f>
        <v>#N/A</v>
      </c>
      <c r="AC475" s="367" t="e">
        <f>RawMaterials[[#This Row],[Lab Price 2]]/RawMaterials[[#This Row],[Lab Q Model Units 2]]</f>
        <v>#N/A</v>
      </c>
      <c r="AD475" s="367" t="e">
        <f>RawMaterials[[#This Row],[Lab Price 3]]/RawMaterials[[#This Row],[Lab Q Model Units 3]]</f>
        <v>#N/A</v>
      </c>
      <c r="AE475" s="367" t="e">
        <f>RawMaterials[[#This Row],[Lab Price 4]]/RawMaterials[[#This Row],[Lab Q Model Units 4]]</f>
        <v>#N/A</v>
      </c>
      <c r="AF475" s="367" t="str">
        <f ca="1">IF(RawMaterials[[#This Row],[Lab Quote Count]]&gt;1,SLOPE(LOG(INDIRECT("RawMaterials[@[Lab Unit P 1]:[Lab Unit P "&amp;RawMaterials[[#This Row],[Lab Quote Count]]&amp;"]]")),LOG(INDIRECT("RawMaterials[@[Lab Q Model Units 1]:[Lab Q Model Units "&amp;RawMaterials[[#This Row],[Lab Quote Count]]&amp;"]]"))),"")</f>
        <v/>
      </c>
      <c r="AG475" s="367" t="str">
        <f ca="1">IF(RawMaterials[[#This Row],[Lab Quote Count]]&gt;1,INTERCEPT(LOG(INDIRECT("RawMaterials[@[Lab Unit P 1]:[Lab Unit P "&amp;RawMaterials[[#This Row],[Lab Quote Count]]&amp;"]]")),LOG(INDIRECT("RawMaterials[@[Lab Q Model Units 1]:[Lab Q Model Units "&amp;RawMaterials[[#This Row],[Lab Quote Count]]&amp;"]]"))),"")</f>
        <v/>
      </c>
      <c r="AH475" s="368" t="str">
        <f>IF(RawMaterials[[#This Row],[Material Type]]="Metal Precursor","D13",IF(RawMaterials[[#This Row],[Material Type]]="Ligand","D13","D12"))</f>
        <v>D12</v>
      </c>
      <c r="AI475" s="369" t="str">
        <f ca="1">IF(RawMaterials[[#This Row],[Lab Quote Count]]&gt;1,10^RawMaterials[[#This Row],[Lab Log-Log Intercept]]*INDIRECT(RawMaterials[[#This Row],[Basis Cell]])^RawMaterials[[#This Row],[Lab Log-Log Slope]],"&gt;&gt;&gt; Enter 2 or more lab quotes &lt;&lt;&lt;")</f>
        <v>&gt;&gt;&gt; Enter 2 or more lab quotes &lt;&lt;&lt;</v>
      </c>
      <c r="AJ4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475" s="372">
        <f>IF(ISTEXT(RawMaterials[[#This Row],[Unit price in quote year]]),"Check calcs",RawMaterials[[#This Row],[Unit price in quote year]]/VLOOKUP(RawMaterials[[#This Row],[Quote Year]],ChemPPI[],14,FALSE)*VLOOKUP(BasisYear,ChemPPI[],14,FALSE))</f>
        <v>1.1061305894308946</v>
      </c>
      <c r="AM475" s="373" t="str">
        <f t="shared" si="7"/>
        <v>$/lb (2016)</v>
      </c>
    </row>
    <row r="476" spans="1:39">
      <c r="A476" s="377" t="s">
        <v>184</v>
      </c>
      <c r="B476" s="379"/>
      <c r="C476" s="383"/>
      <c r="D476" s="378"/>
      <c r="E476" s="379">
        <v>100</v>
      </c>
      <c r="F476" s="379"/>
      <c r="G476" s="383"/>
      <c r="H476" s="383"/>
      <c r="I476" s="380"/>
      <c r="J476" s="383"/>
      <c r="K476" s="383"/>
      <c r="L476" s="383"/>
      <c r="M476" s="383"/>
      <c r="N476" s="383"/>
      <c r="O476" s="383"/>
      <c r="P476" s="381">
        <v>2390</v>
      </c>
      <c r="Q476" s="264">
        <v>1</v>
      </c>
      <c r="R476" s="379" t="s">
        <v>62</v>
      </c>
      <c r="S476" s="379">
        <v>2018</v>
      </c>
      <c r="T476" s="366" t="s">
        <v>1105</v>
      </c>
      <c r="U476" s="382">
        <v>43339</v>
      </c>
      <c r="V476" s="269" t="s">
        <v>1716</v>
      </c>
      <c r="W476" s="366">
        <f>COUNT(RawMaterials[[#This Row],[Lab Quantity 1]:[Lab Quantity 4]])</f>
        <v>0</v>
      </c>
      <c r="X4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6" s="367" t="e">
        <f>RawMaterials[[#This Row],[Lab Price 1]]/RawMaterials[[#This Row],[Lab Q Model Units 1]]</f>
        <v>#N/A</v>
      </c>
      <c r="AC476" s="367" t="e">
        <f>RawMaterials[[#This Row],[Lab Price 2]]/RawMaterials[[#This Row],[Lab Q Model Units 2]]</f>
        <v>#N/A</v>
      </c>
      <c r="AD476" s="367" t="e">
        <f>RawMaterials[[#This Row],[Lab Price 3]]/RawMaterials[[#This Row],[Lab Q Model Units 3]]</f>
        <v>#N/A</v>
      </c>
      <c r="AE476" s="367" t="e">
        <f>RawMaterials[[#This Row],[Lab Price 4]]/RawMaterials[[#This Row],[Lab Q Model Units 4]]</f>
        <v>#N/A</v>
      </c>
      <c r="AF476" s="367" t="str">
        <f ca="1">IF(RawMaterials[[#This Row],[Lab Quote Count]]&gt;1,SLOPE(LOG(INDIRECT("RawMaterials[@[Lab Unit P 1]:[Lab Unit P "&amp;RawMaterials[[#This Row],[Lab Quote Count]]&amp;"]]")),LOG(INDIRECT("RawMaterials[@[Lab Q Model Units 1]:[Lab Q Model Units "&amp;RawMaterials[[#This Row],[Lab Quote Count]]&amp;"]]"))),"")</f>
        <v/>
      </c>
      <c r="AG476" s="367" t="str">
        <f ca="1">IF(RawMaterials[[#This Row],[Lab Quote Count]]&gt;1,INTERCEPT(LOG(INDIRECT("RawMaterials[@[Lab Unit P 1]:[Lab Unit P "&amp;RawMaterials[[#This Row],[Lab Quote Count]]&amp;"]]")),LOG(INDIRECT("RawMaterials[@[Lab Q Model Units 1]:[Lab Q Model Units "&amp;RawMaterials[[#This Row],[Lab Quote Count]]&amp;"]]"))),"")</f>
        <v/>
      </c>
      <c r="AH476" s="368" t="str">
        <f>IF(RawMaterials[[#This Row],[Material Type]]="Metal Precursor","D13",IF(RawMaterials[[#This Row],[Material Type]]="Ligand","D13","D12"))</f>
        <v>D12</v>
      </c>
      <c r="AI476" s="369" t="str">
        <f ca="1">IF(RawMaterials[[#This Row],[Lab Quote Count]]&gt;1,10^RawMaterials[[#This Row],[Lab Log-Log Intercept]]*INDIRECT(RawMaterials[[#This Row],[Basis Cell]])^RawMaterials[[#This Row],[Lab Log-Log Slope]],"&gt;&gt;&gt; Enter 2 or more lab quotes &lt;&lt;&lt;")</f>
        <v>&gt;&gt;&gt; Enter 2 or more lab quotes &lt;&lt;&lt;</v>
      </c>
      <c r="AJ4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34854.166666666672</v>
      </c>
      <c r="AL476" s="372">
        <f>IF(ISTEXT(RawMaterials[[#This Row],[Unit price in quote year]]),"Check calcs",RawMaterials[[#This Row],[Unit price in quote year]]/VLOOKUP(RawMaterials[[#This Row],[Quote Year]],ChemPPI[],14,FALSE)*VLOOKUP(BasisYear,ChemPPI[],14,FALSE))</f>
        <v>32383.288982421971</v>
      </c>
      <c r="AM476" s="373" t="str">
        <f t="shared" si="7"/>
        <v>$/lb (2016)</v>
      </c>
    </row>
    <row r="477" spans="1:39">
      <c r="A477" s="377" t="s">
        <v>183</v>
      </c>
      <c r="B477" s="379"/>
      <c r="C477" s="383"/>
      <c r="D477" s="378"/>
      <c r="E477" s="379">
        <v>100</v>
      </c>
      <c r="F477" s="379"/>
      <c r="G477" s="383"/>
      <c r="H477" s="383"/>
      <c r="I477" s="380"/>
      <c r="J477" s="383"/>
      <c r="K477" s="383"/>
      <c r="L477" s="383"/>
      <c r="M477" s="383"/>
      <c r="N477" s="383"/>
      <c r="O477" s="383"/>
      <c r="P477" s="381">
        <v>260</v>
      </c>
      <c r="Q477" s="264">
        <v>1</v>
      </c>
      <c r="R477" s="379" t="s">
        <v>62</v>
      </c>
      <c r="S477" s="379">
        <v>2018</v>
      </c>
      <c r="T477" s="366" t="s">
        <v>1105</v>
      </c>
      <c r="U477" s="382">
        <v>43339</v>
      </c>
      <c r="V477" s="269" t="s">
        <v>1716</v>
      </c>
      <c r="W477" s="366">
        <f>COUNT(RawMaterials[[#This Row],[Lab Quantity 1]:[Lab Quantity 4]])</f>
        <v>0</v>
      </c>
      <c r="X4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7" s="367" t="e">
        <f>RawMaterials[[#This Row],[Lab Price 1]]/RawMaterials[[#This Row],[Lab Q Model Units 1]]</f>
        <v>#N/A</v>
      </c>
      <c r="AC477" s="367" t="e">
        <f>RawMaterials[[#This Row],[Lab Price 2]]/RawMaterials[[#This Row],[Lab Q Model Units 2]]</f>
        <v>#N/A</v>
      </c>
      <c r="AD477" s="367" t="e">
        <f>RawMaterials[[#This Row],[Lab Price 3]]/RawMaterials[[#This Row],[Lab Q Model Units 3]]</f>
        <v>#N/A</v>
      </c>
      <c r="AE477" s="367" t="e">
        <f>RawMaterials[[#This Row],[Lab Price 4]]/RawMaterials[[#This Row],[Lab Q Model Units 4]]</f>
        <v>#N/A</v>
      </c>
      <c r="AF477" s="367" t="str">
        <f ca="1">IF(RawMaterials[[#This Row],[Lab Quote Count]]&gt;1,SLOPE(LOG(INDIRECT("RawMaterials[@[Lab Unit P 1]:[Lab Unit P "&amp;RawMaterials[[#This Row],[Lab Quote Count]]&amp;"]]")),LOG(INDIRECT("RawMaterials[@[Lab Q Model Units 1]:[Lab Q Model Units "&amp;RawMaterials[[#This Row],[Lab Quote Count]]&amp;"]]"))),"")</f>
        <v/>
      </c>
      <c r="AG477" s="367" t="str">
        <f ca="1">IF(RawMaterials[[#This Row],[Lab Quote Count]]&gt;1,INTERCEPT(LOG(INDIRECT("RawMaterials[@[Lab Unit P 1]:[Lab Unit P "&amp;RawMaterials[[#This Row],[Lab Quote Count]]&amp;"]]")),LOG(INDIRECT("RawMaterials[@[Lab Q Model Units 1]:[Lab Q Model Units "&amp;RawMaterials[[#This Row],[Lab Quote Count]]&amp;"]]"))),"")</f>
        <v/>
      </c>
      <c r="AH477" s="368" t="str">
        <f>IF(RawMaterials[[#This Row],[Material Type]]="Metal Precursor","D13",IF(RawMaterials[[#This Row],[Material Type]]="Ligand","D13","D12"))</f>
        <v>D12</v>
      </c>
      <c r="AI477" s="369" t="str">
        <f ca="1">IF(RawMaterials[[#This Row],[Lab Quote Count]]&gt;1,10^RawMaterials[[#This Row],[Lab Log-Log Intercept]]*INDIRECT(RawMaterials[[#This Row],[Basis Cell]])^RawMaterials[[#This Row],[Lab Log-Log Slope]],"&gt;&gt;&gt; Enter 2 or more lab quotes &lt;&lt;&lt;")</f>
        <v>&gt;&gt;&gt; Enter 2 or more lab quotes &lt;&lt;&lt;</v>
      </c>
      <c r="AJ4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3791.6666666666674</v>
      </c>
      <c r="AL477" s="372">
        <f>IF(ISTEXT(RawMaterials[[#This Row],[Unit price in quote year]]),"Check calcs",RawMaterials[[#This Row],[Unit price in quote year]]/VLOOKUP(RawMaterials[[#This Row],[Quote Year]],ChemPPI[],14,FALSE)*VLOOKUP(BasisYear,ChemPPI[],14,FALSE))</f>
        <v>3522.868257501972</v>
      </c>
      <c r="AM477" s="373" t="str">
        <f t="shared" si="7"/>
        <v>$/lb (2016)</v>
      </c>
    </row>
    <row r="478" spans="1:39">
      <c r="A478" s="263" t="s">
        <v>1574</v>
      </c>
      <c r="B478" s="264"/>
      <c r="C478" s="271"/>
      <c r="D478" s="365"/>
      <c r="E478" s="264">
        <v>100</v>
      </c>
      <c r="F478" s="264"/>
      <c r="G478" s="271"/>
      <c r="H478" s="271"/>
      <c r="I478" s="268"/>
      <c r="J478" s="271"/>
      <c r="K478" s="271"/>
      <c r="L478" s="271"/>
      <c r="M478" s="271"/>
      <c r="N478" s="271"/>
      <c r="O478" s="271"/>
      <c r="P478" s="265">
        <v>0.8</v>
      </c>
      <c r="Q478" s="264">
        <v>1</v>
      </c>
      <c r="R478" s="264" t="s">
        <v>20</v>
      </c>
      <c r="S478" s="264">
        <v>2006</v>
      </c>
      <c r="T478" s="266" t="s">
        <v>163</v>
      </c>
      <c r="U478" s="267">
        <v>42653</v>
      </c>
      <c r="V478" s="269"/>
      <c r="W478" s="366">
        <f>COUNT(RawMaterials[[#This Row],[Lab Quantity 1]:[Lab Quantity 4]])</f>
        <v>0</v>
      </c>
      <c r="X4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8" s="367" t="e">
        <f>RawMaterials[[#This Row],[Lab Price 1]]/RawMaterials[[#This Row],[Lab Q Model Units 1]]</f>
        <v>#N/A</v>
      </c>
      <c r="AC478" s="367" t="e">
        <f>RawMaterials[[#This Row],[Lab Price 2]]/RawMaterials[[#This Row],[Lab Q Model Units 2]]</f>
        <v>#N/A</v>
      </c>
      <c r="AD478" s="367" t="e">
        <f>RawMaterials[[#This Row],[Lab Price 3]]/RawMaterials[[#This Row],[Lab Q Model Units 3]]</f>
        <v>#N/A</v>
      </c>
      <c r="AE478" s="367" t="e">
        <f>RawMaterials[[#This Row],[Lab Price 4]]/RawMaterials[[#This Row],[Lab Q Model Units 4]]</f>
        <v>#N/A</v>
      </c>
      <c r="AF478" s="367" t="str">
        <f ca="1">IF(RawMaterials[[#This Row],[Lab Quote Count]]&gt;1,SLOPE(LOG(INDIRECT("RawMaterials[@[Lab Unit P 1]:[Lab Unit P "&amp;RawMaterials[[#This Row],[Lab Quote Count]]&amp;"]]")),LOG(INDIRECT("RawMaterials[@[Lab Q Model Units 1]:[Lab Q Model Units "&amp;RawMaterials[[#This Row],[Lab Quote Count]]&amp;"]]"))),"")</f>
        <v/>
      </c>
      <c r="AG478" s="367" t="str">
        <f ca="1">IF(RawMaterials[[#This Row],[Lab Quote Count]]&gt;1,INTERCEPT(LOG(INDIRECT("RawMaterials[@[Lab Unit P 1]:[Lab Unit P "&amp;RawMaterials[[#This Row],[Lab Quote Count]]&amp;"]]")),LOG(INDIRECT("RawMaterials[@[Lab Q Model Units 1]:[Lab Q Model Units "&amp;RawMaterials[[#This Row],[Lab Quote Count]]&amp;"]]"))),"")</f>
        <v/>
      </c>
      <c r="AH478" s="368" t="str">
        <f>IF(RawMaterials[[#This Row],[Material Type]]="Metal Precursor","D13",IF(RawMaterials[[#This Row],[Material Type]]="Ligand","D13","D12"))</f>
        <v>D12</v>
      </c>
      <c r="AI478" s="369" t="str">
        <f ca="1">IF(RawMaterials[[#This Row],[Lab Quote Count]]&gt;1,10^RawMaterials[[#This Row],[Lab Log-Log Intercept]]*INDIRECT(RawMaterials[[#This Row],[Basis Cell]])^RawMaterials[[#This Row],[Lab Log-Log Slope]],"&gt;&gt;&gt; Enter 2 or more lab quotes &lt;&lt;&lt;")</f>
        <v>&gt;&gt;&gt; Enter 2 or more lab quotes &lt;&lt;&lt;</v>
      </c>
      <c r="AJ4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478" s="372">
        <f>IF(ISTEXT(RawMaterials[[#This Row],[Unit price in quote year]]),"Check calcs",RawMaterials[[#This Row],[Unit price in quote year]]/VLOOKUP(RawMaterials[[#This Row],[Quote Year]],ChemPPI[],14,FALSE)*VLOOKUP(BasisYear,ChemPPI[],14,FALSE))</f>
        <v>1.0857723577235774</v>
      </c>
      <c r="AM478" s="373" t="str">
        <f t="shared" si="7"/>
        <v>$/lb (2016)</v>
      </c>
    </row>
    <row r="479" spans="1:39">
      <c r="A479" s="263" t="s">
        <v>1575</v>
      </c>
      <c r="B479" s="264"/>
      <c r="C479" s="271"/>
      <c r="D479" s="365"/>
      <c r="E479" s="264">
        <v>100</v>
      </c>
      <c r="F479" s="264"/>
      <c r="G479" s="271"/>
      <c r="H479" s="271"/>
      <c r="I479" s="268"/>
      <c r="J479" s="271"/>
      <c r="K479" s="271"/>
      <c r="L479" s="271"/>
      <c r="M479" s="271"/>
      <c r="N479" s="271"/>
      <c r="O479" s="271"/>
      <c r="P479" s="265">
        <v>0.72499999999999998</v>
      </c>
      <c r="Q479" s="264">
        <v>1</v>
      </c>
      <c r="R479" s="264" t="s">
        <v>20</v>
      </c>
      <c r="S479" s="264">
        <v>2006</v>
      </c>
      <c r="T479" s="266" t="s">
        <v>163</v>
      </c>
      <c r="U479" s="267">
        <v>42653</v>
      </c>
      <c r="V479" s="269"/>
      <c r="W479" s="366">
        <f>COUNT(RawMaterials[[#This Row],[Lab Quantity 1]:[Lab Quantity 4]])</f>
        <v>0</v>
      </c>
      <c r="X4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79" s="367" t="e">
        <f>RawMaterials[[#This Row],[Lab Price 1]]/RawMaterials[[#This Row],[Lab Q Model Units 1]]</f>
        <v>#N/A</v>
      </c>
      <c r="AC479" s="367" t="e">
        <f>RawMaterials[[#This Row],[Lab Price 2]]/RawMaterials[[#This Row],[Lab Q Model Units 2]]</f>
        <v>#N/A</v>
      </c>
      <c r="AD479" s="367" t="e">
        <f>RawMaterials[[#This Row],[Lab Price 3]]/RawMaterials[[#This Row],[Lab Q Model Units 3]]</f>
        <v>#N/A</v>
      </c>
      <c r="AE479" s="367" t="e">
        <f>RawMaterials[[#This Row],[Lab Price 4]]/RawMaterials[[#This Row],[Lab Q Model Units 4]]</f>
        <v>#N/A</v>
      </c>
      <c r="AF479" s="367" t="str">
        <f ca="1">IF(RawMaterials[[#This Row],[Lab Quote Count]]&gt;1,SLOPE(LOG(INDIRECT("RawMaterials[@[Lab Unit P 1]:[Lab Unit P "&amp;RawMaterials[[#This Row],[Lab Quote Count]]&amp;"]]")),LOG(INDIRECT("RawMaterials[@[Lab Q Model Units 1]:[Lab Q Model Units "&amp;RawMaterials[[#This Row],[Lab Quote Count]]&amp;"]]"))),"")</f>
        <v/>
      </c>
      <c r="AG479" s="367" t="str">
        <f ca="1">IF(RawMaterials[[#This Row],[Lab Quote Count]]&gt;1,INTERCEPT(LOG(INDIRECT("RawMaterials[@[Lab Unit P 1]:[Lab Unit P "&amp;RawMaterials[[#This Row],[Lab Quote Count]]&amp;"]]")),LOG(INDIRECT("RawMaterials[@[Lab Q Model Units 1]:[Lab Q Model Units "&amp;RawMaterials[[#This Row],[Lab Quote Count]]&amp;"]]"))),"")</f>
        <v/>
      </c>
      <c r="AH479" s="368" t="str">
        <f>IF(RawMaterials[[#This Row],[Material Type]]="Metal Precursor","D13",IF(RawMaterials[[#This Row],[Material Type]]="Ligand","D13","D12"))</f>
        <v>D12</v>
      </c>
      <c r="AI479" s="369" t="str">
        <f ca="1">IF(RawMaterials[[#This Row],[Lab Quote Count]]&gt;1,10^RawMaterials[[#This Row],[Lab Log-Log Intercept]]*INDIRECT(RawMaterials[[#This Row],[Basis Cell]])^RawMaterials[[#This Row],[Lab Log-Log Slope]],"&gt;&gt;&gt; Enter 2 or more lab quotes &lt;&lt;&lt;")</f>
        <v>&gt;&gt;&gt; Enter 2 or more lab quotes &lt;&lt;&lt;</v>
      </c>
      <c r="AJ4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479" s="372">
        <f>IF(ISTEXT(RawMaterials[[#This Row],[Unit price in quote year]]),"Check calcs",RawMaterials[[#This Row],[Unit price in quote year]]/VLOOKUP(RawMaterials[[#This Row],[Quote Year]],ChemPPI[],14,FALSE)*VLOOKUP(BasisYear,ChemPPI[],14,FALSE))</f>
        <v>0.98398119918699201</v>
      </c>
      <c r="AM479" s="373" t="str">
        <f t="shared" si="7"/>
        <v>$/lb (2016)</v>
      </c>
    </row>
    <row r="480" spans="1:39">
      <c r="A480" s="263" t="s">
        <v>1576</v>
      </c>
      <c r="B480" s="264"/>
      <c r="C480" s="271"/>
      <c r="D480" s="365"/>
      <c r="E480" s="264">
        <v>100</v>
      </c>
      <c r="F480" s="264"/>
      <c r="G480" s="271"/>
      <c r="H480" s="271"/>
      <c r="I480" s="268"/>
      <c r="J480" s="271"/>
      <c r="K480" s="271"/>
      <c r="L480" s="271"/>
      <c r="M480" s="271"/>
      <c r="N480" s="271"/>
      <c r="O480" s="271"/>
      <c r="P480" s="265">
        <v>1.2050000000000001</v>
      </c>
      <c r="Q480" s="264">
        <v>1</v>
      </c>
      <c r="R480" s="264" t="s">
        <v>20</v>
      </c>
      <c r="S480" s="264">
        <v>2006</v>
      </c>
      <c r="T480" s="266" t="s">
        <v>163</v>
      </c>
      <c r="U480" s="267">
        <v>42653</v>
      </c>
      <c r="V480" s="269"/>
      <c r="W480" s="366">
        <f>COUNT(RawMaterials[[#This Row],[Lab Quantity 1]:[Lab Quantity 4]])</f>
        <v>0</v>
      </c>
      <c r="X4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0" s="367" t="e">
        <f>RawMaterials[[#This Row],[Lab Price 1]]/RawMaterials[[#This Row],[Lab Q Model Units 1]]</f>
        <v>#N/A</v>
      </c>
      <c r="AC480" s="367" t="e">
        <f>RawMaterials[[#This Row],[Lab Price 2]]/RawMaterials[[#This Row],[Lab Q Model Units 2]]</f>
        <v>#N/A</v>
      </c>
      <c r="AD480" s="367" t="e">
        <f>RawMaterials[[#This Row],[Lab Price 3]]/RawMaterials[[#This Row],[Lab Q Model Units 3]]</f>
        <v>#N/A</v>
      </c>
      <c r="AE480" s="367" t="e">
        <f>RawMaterials[[#This Row],[Lab Price 4]]/RawMaterials[[#This Row],[Lab Q Model Units 4]]</f>
        <v>#N/A</v>
      </c>
      <c r="AF480" s="367" t="str">
        <f ca="1">IF(RawMaterials[[#This Row],[Lab Quote Count]]&gt;1,SLOPE(LOG(INDIRECT("RawMaterials[@[Lab Unit P 1]:[Lab Unit P "&amp;RawMaterials[[#This Row],[Lab Quote Count]]&amp;"]]")),LOG(INDIRECT("RawMaterials[@[Lab Q Model Units 1]:[Lab Q Model Units "&amp;RawMaterials[[#This Row],[Lab Quote Count]]&amp;"]]"))),"")</f>
        <v/>
      </c>
      <c r="AG480" s="367" t="str">
        <f ca="1">IF(RawMaterials[[#This Row],[Lab Quote Count]]&gt;1,INTERCEPT(LOG(INDIRECT("RawMaterials[@[Lab Unit P 1]:[Lab Unit P "&amp;RawMaterials[[#This Row],[Lab Quote Count]]&amp;"]]")),LOG(INDIRECT("RawMaterials[@[Lab Q Model Units 1]:[Lab Q Model Units "&amp;RawMaterials[[#This Row],[Lab Quote Count]]&amp;"]]"))),"")</f>
        <v/>
      </c>
      <c r="AH480" s="368" t="str">
        <f>IF(RawMaterials[[#This Row],[Material Type]]="Metal Precursor","D13",IF(RawMaterials[[#This Row],[Material Type]]="Ligand","D13","D12"))</f>
        <v>D12</v>
      </c>
      <c r="AI480" s="369" t="str">
        <f ca="1">IF(RawMaterials[[#This Row],[Lab Quote Count]]&gt;1,10^RawMaterials[[#This Row],[Lab Log-Log Intercept]]*INDIRECT(RawMaterials[[#This Row],[Basis Cell]])^RawMaterials[[#This Row],[Lab Log-Log Slope]],"&gt;&gt;&gt; Enter 2 or more lab quotes &lt;&lt;&lt;")</f>
        <v>&gt;&gt;&gt; Enter 2 or more lab quotes &lt;&lt;&lt;</v>
      </c>
      <c r="AJ4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1.2050000000000001</v>
      </c>
      <c r="AL480" s="372">
        <f>IF(ISTEXT(RawMaterials[[#This Row],[Unit price in quote year]]),"Check calcs",RawMaterials[[#This Row],[Unit price in quote year]]/VLOOKUP(RawMaterials[[#This Row],[Quote Year]],ChemPPI[],14,FALSE)*VLOOKUP(BasisYear,ChemPPI[],14,FALSE))</f>
        <v>1.6354446138211385</v>
      </c>
      <c r="AM480" s="373" t="str">
        <f t="shared" si="7"/>
        <v>$/lb (2016)</v>
      </c>
    </row>
    <row r="481" spans="1:39">
      <c r="A481" s="263" t="s">
        <v>1577</v>
      </c>
      <c r="B481" s="264"/>
      <c r="C481" s="271"/>
      <c r="D481" s="365"/>
      <c r="E481" s="264">
        <v>100</v>
      </c>
      <c r="F481" s="264"/>
      <c r="G481" s="271"/>
      <c r="H481" s="271"/>
      <c r="I481" s="268"/>
      <c r="J481" s="271"/>
      <c r="K481" s="271"/>
      <c r="L481" s="271"/>
      <c r="M481" s="271"/>
      <c r="N481" s="271"/>
      <c r="O481" s="271"/>
      <c r="P481" s="265">
        <v>1.48</v>
      </c>
      <c r="Q481" s="264">
        <v>1</v>
      </c>
      <c r="R481" s="264" t="s">
        <v>20</v>
      </c>
      <c r="S481" s="264">
        <v>2006</v>
      </c>
      <c r="T481" s="266" t="s">
        <v>163</v>
      </c>
      <c r="U481" s="267">
        <v>42653</v>
      </c>
      <c r="V481" s="269"/>
      <c r="W481" s="366">
        <f>COUNT(RawMaterials[[#This Row],[Lab Quantity 1]:[Lab Quantity 4]])</f>
        <v>0</v>
      </c>
      <c r="X4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1" s="367" t="e">
        <f>RawMaterials[[#This Row],[Lab Price 1]]/RawMaterials[[#This Row],[Lab Q Model Units 1]]</f>
        <v>#N/A</v>
      </c>
      <c r="AC481" s="367" t="e">
        <f>RawMaterials[[#This Row],[Lab Price 2]]/RawMaterials[[#This Row],[Lab Q Model Units 2]]</f>
        <v>#N/A</v>
      </c>
      <c r="AD481" s="367" t="e">
        <f>RawMaterials[[#This Row],[Lab Price 3]]/RawMaterials[[#This Row],[Lab Q Model Units 3]]</f>
        <v>#N/A</v>
      </c>
      <c r="AE481" s="367" t="e">
        <f>RawMaterials[[#This Row],[Lab Price 4]]/RawMaterials[[#This Row],[Lab Q Model Units 4]]</f>
        <v>#N/A</v>
      </c>
      <c r="AF481" s="367" t="str">
        <f ca="1">IF(RawMaterials[[#This Row],[Lab Quote Count]]&gt;1,SLOPE(LOG(INDIRECT("RawMaterials[@[Lab Unit P 1]:[Lab Unit P "&amp;RawMaterials[[#This Row],[Lab Quote Count]]&amp;"]]")),LOG(INDIRECT("RawMaterials[@[Lab Q Model Units 1]:[Lab Q Model Units "&amp;RawMaterials[[#This Row],[Lab Quote Count]]&amp;"]]"))),"")</f>
        <v/>
      </c>
      <c r="AG481" s="367" t="str">
        <f ca="1">IF(RawMaterials[[#This Row],[Lab Quote Count]]&gt;1,INTERCEPT(LOG(INDIRECT("RawMaterials[@[Lab Unit P 1]:[Lab Unit P "&amp;RawMaterials[[#This Row],[Lab Quote Count]]&amp;"]]")),LOG(INDIRECT("RawMaterials[@[Lab Q Model Units 1]:[Lab Q Model Units "&amp;RawMaterials[[#This Row],[Lab Quote Count]]&amp;"]]"))),"")</f>
        <v/>
      </c>
      <c r="AH481" s="368" t="str">
        <f>IF(RawMaterials[[#This Row],[Material Type]]="Metal Precursor","D13",IF(RawMaterials[[#This Row],[Material Type]]="Ligand","D13","D12"))</f>
        <v>D12</v>
      </c>
      <c r="AI481" s="369" t="str">
        <f ca="1">IF(RawMaterials[[#This Row],[Lab Quote Count]]&gt;1,10^RawMaterials[[#This Row],[Lab Log-Log Intercept]]*INDIRECT(RawMaterials[[#This Row],[Basis Cell]])^RawMaterials[[#This Row],[Lab Log-Log Slope]],"&gt;&gt;&gt; Enter 2 or more lab quotes &lt;&lt;&lt;")</f>
        <v>&gt;&gt;&gt; Enter 2 or more lab quotes &lt;&lt;&lt;</v>
      </c>
      <c r="AJ4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1.48</v>
      </c>
      <c r="AL481" s="372">
        <f>IF(ISTEXT(RawMaterials[[#This Row],[Unit price in quote year]]),"Check calcs",RawMaterials[[#This Row],[Unit price in quote year]]/VLOOKUP(RawMaterials[[#This Row],[Quote Year]],ChemPPI[],14,FALSE)*VLOOKUP(BasisYear,ChemPPI[],14,FALSE))</f>
        <v>2.008678861788618</v>
      </c>
      <c r="AM481" s="373" t="str">
        <f t="shared" si="7"/>
        <v>$/lb (2016)</v>
      </c>
    </row>
    <row r="482" spans="1:39">
      <c r="A482" s="263" t="s">
        <v>1578</v>
      </c>
      <c r="B482" s="264"/>
      <c r="C482" s="271"/>
      <c r="D482" s="365"/>
      <c r="E482" s="264">
        <v>100</v>
      </c>
      <c r="F482" s="264"/>
      <c r="G482" s="271"/>
      <c r="H482" s="271"/>
      <c r="I482" s="268"/>
      <c r="J482" s="271"/>
      <c r="K482" s="271"/>
      <c r="L482" s="271"/>
      <c r="M482" s="271"/>
      <c r="N482" s="271"/>
      <c r="O482" s="271"/>
      <c r="P482" s="265">
        <v>3.92</v>
      </c>
      <c r="Q482" s="264">
        <v>1</v>
      </c>
      <c r="R482" s="264" t="s">
        <v>20</v>
      </c>
      <c r="S482" s="264">
        <v>2006</v>
      </c>
      <c r="T482" s="266" t="s">
        <v>163</v>
      </c>
      <c r="U482" s="267">
        <v>42653</v>
      </c>
      <c r="V482" s="269"/>
      <c r="W482" s="366">
        <f>COUNT(RawMaterials[[#This Row],[Lab Quantity 1]:[Lab Quantity 4]])</f>
        <v>0</v>
      </c>
      <c r="X4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2" s="367" t="e">
        <f>RawMaterials[[#This Row],[Lab Price 1]]/RawMaterials[[#This Row],[Lab Q Model Units 1]]</f>
        <v>#N/A</v>
      </c>
      <c r="AC482" s="367" t="e">
        <f>RawMaterials[[#This Row],[Lab Price 2]]/RawMaterials[[#This Row],[Lab Q Model Units 2]]</f>
        <v>#N/A</v>
      </c>
      <c r="AD482" s="367" t="e">
        <f>RawMaterials[[#This Row],[Lab Price 3]]/RawMaterials[[#This Row],[Lab Q Model Units 3]]</f>
        <v>#N/A</v>
      </c>
      <c r="AE482" s="367" t="e">
        <f>RawMaterials[[#This Row],[Lab Price 4]]/RawMaterials[[#This Row],[Lab Q Model Units 4]]</f>
        <v>#N/A</v>
      </c>
      <c r="AF482" s="367" t="str">
        <f ca="1">IF(RawMaterials[[#This Row],[Lab Quote Count]]&gt;1,SLOPE(LOG(INDIRECT("RawMaterials[@[Lab Unit P 1]:[Lab Unit P "&amp;RawMaterials[[#This Row],[Lab Quote Count]]&amp;"]]")),LOG(INDIRECT("RawMaterials[@[Lab Q Model Units 1]:[Lab Q Model Units "&amp;RawMaterials[[#This Row],[Lab Quote Count]]&amp;"]]"))),"")</f>
        <v/>
      </c>
      <c r="AG482" s="367" t="str">
        <f ca="1">IF(RawMaterials[[#This Row],[Lab Quote Count]]&gt;1,INTERCEPT(LOG(INDIRECT("RawMaterials[@[Lab Unit P 1]:[Lab Unit P "&amp;RawMaterials[[#This Row],[Lab Quote Count]]&amp;"]]")),LOG(INDIRECT("RawMaterials[@[Lab Q Model Units 1]:[Lab Q Model Units "&amp;RawMaterials[[#This Row],[Lab Quote Count]]&amp;"]]"))),"")</f>
        <v/>
      </c>
      <c r="AH482" s="368" t="str">
        <f>IF(RawMaterials[[#This Row],[Material Type]]="Metal Precursor","D13",IF(RawMaterials[[#This Row],[Material Type]]="Ligand","D13","D12"))</f>
        <v>D12</v>
      </c>
      <c r="AI482" s="369" t="str">
        <f ca="1">IF(RawMaterials[[#This Row],[Lab Quote Count]]&gt;1,10^RawMaterials[[#This Row],[Lab Log-Log Intercept]]*INDIRECT(RawMaterials[[#This Row],[Basis Cell]])^RawMaterials[[#This Row],[Lab Log-Log Slope]],"&gt;&gt;&gt; Enter 2 or more lab quotes &lt;&lt;&lt;")</f>
        <v>&gt;&gt;&gt; Enter 2 or more lab quotes &lt;&lt;&lt;</v>
      </c>
      <c r="AJ4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3.92</v>
      </c>
      <c r="AL482" s="372">
        <f>IF(ISTEXT(RawMaterials[[#This Row],[Unit price in quote year]]),"Check calcs",RawMaterials[[#This Row],[Unit price in quote year]]/VLOOKUP(RawMaterials[[#This Row],[Quote Year]],ChemPPI[],14,FALSE)*VLOOKUP(BasisYear,ChemPPI[],14,FALSE))</f>
        <v>5.3202845528455294</v>
      </c>
      <c r="AM482" s="373" t="str">
        <f t="shared" si="7"/>
        <v>$/lb (2016)</v>
      </c>
    </row>
    <row r="483" spans="1:39">
      <c r="A483" s="263" t="s">
        <v>1579</v>
      </c>
      <c r="B483" s="264"/>
      <c r="C483" s="271"/>
      <c r="D483" s="365"/>
      <c r="E483" s="264">
        <v>100</v>
      </c>
      <c r="F483" s="264"/>
      <c r="G483" s="271"/>
      <c r="H483" s="271"/>
      <c r="I483" s="268"/>
      <c r="J483" s="271"/>
      <c r="K483" s="271"/>
      <c r="L483" s="271"/>
      <c r="M483" s="271"/>
      <c r="N483" s="271"/>
      <c r="O483" s="271"/>
      <c r="P483" s="265">
        <v>1475</v>
      </c>
      <c r="Q483" s="264">
        <v>1</v>
      </c>
      <c r="R483" s="264" t="s">
        <v>71</v>
      </c>
      <c r="S483" s="264">
        <v>2006</v>
      </c>
      <c r="T483" s="266" t="s">
        <v>163</v>
      </c>
      <c r="U483" s="267">
        <v>42653</v>
      </c>
      <c r="V483" s="269"/>
      <c r="W483" s="366">
        <f>COUNT(RawMaterials[[#This Row],[Lab Quantity 1]:[Lab Quantity 4]])</f>
        <v>0</v>
      </c>
      <c r="X4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3" s="367" t="e">
        <f>RawMaterials[[#This Row],[Lab Price 1]]/RawMaterials[[#This Row],[Lab Q Model Units 1]]</f>
        <v>#N/A</v>
      </c>
      <c r="AC483" s="367" t="e">
        <f>RawMaterials[[#This Row],[Lab Price 2]]/RawMaterials[[#This Row],[Lab Q Model Units 2]]</f>
        <v>#N/A</v>
      </c>
      <c r="AD483" s="367" t="e">
        <f>RawMaterials[[#This Row],[Lab Price 3]]/RawMaterials[[#This Row],[Lab Q Model Units 3]]</f>
        <v>#N/A</v>
      </c>
      <c r="AE483" s="367" t="e">
        <f>RawMaterials[[#This Row],[Lab Price 4]]/RawMaterials[[#This Row],[Lab Q Model Units 4]]</f>
        <v>#N/A</v>
      </c>
      <c r="AF483" s="367" t="str">
        <f ca="1">IF(RawMaterials[[#This Row],[Lab Quote Count]]&gt;1,SLOPE(LOG(INDIRECT("RawMaterials[@[Lab Unit P 1]:[Lab Unit P "&amp;RawMaterials[[#This Row],[Lab Quote Count]]&amp;"]]")),LOG(INDIRECT("RawMaterials[@[Lab Q Model Units 1]:[Lab Q Model Units "&amp;RawMaterials[[#This Row],[Lab Quote Count]]&amp;"]]"))),"")</f>
        <v/>
      </c>
      <c r="AG483" s="367" t="str">
        <f ca="1">IF(RawMaterials[[#This Row],[Lab Quote Count]]&gt;1,INTERCEPT(LOG(INDIRECT("RawMaterials[@[Lab Unit P 1]:[Lab Unit P "&amp;RawMaterials[[#This Row],[Lab Quote Count]]&amp;"]]")),LOG(INDIRECT("RawMaterials[@[Lab Q Model Units 1]:[Lab Q Model Units "&amp;RawMaterials[[#This Row],[Lab Quote Count]]&amp;"]]"))),"")</f>
        <v/>
      </c>
      <c r="AH483" s="368" t="str">
        <f>IF(RawMaterials[[#This Row],[Material Type]]="Metal Precursor","D13",IF(RawMaterials[[#This Row],[Material Type]]="Ligand","D13","D12"))</f>
        <v>D12</v>
      </c>
      <c r="AI483" s="369" t="str">
        <f ca="1">IF(RawMaterials[[#This Row],[Lab Quote Count]]&gt;1,10^RawMaterials[[#This Row],[Lab Log-Log Intercept]]*INDIRECT(RawMaterials[[#This Row],[Basis Cell]])^RawMaterials[[#This Row],[Lab Log-Log Slope]],"&gt;&gt;&gt; Enter 2 or more lab quotes &lt;&lt;&lt;")</f>
        <v>&gt;&gt;&gt; Enter 2 or more lab quotes &lt;&lt;&lt;</v>
      </c>
      <c r="AJ4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669.04874575000008</v>
      </c>
      <c r="AL483" s="372">
        <f>IF(ISTEXT(RawMaterials[[#This Row],[Unit price in quote year]]),"Check calcs",RawMaterials[[#This Row],[Unit price in quote year]]/VLOOKUP(RawMaterials[[#This Row],[Quote Year]],ChemPPI[],14,FALSE)*VLOOKUP(BasisYear,ChemPPI[],14,FALSE))</f>
        <v>908.04329263122486</v>
      </c>
      <c r="AM483" s="373" t="str">
        <f t="shared" si="7"/>
        <v>$/lb (2016)</v>
      </c>
    </row>
    <row r="484" spans="1:39">
      <c r="A484" s="263" t="s">
        <v>1580</v>
      </c>
      <c r="B484" s="264"/>
      <c r="C484" s="271"/>
      <c r="D484" s="365"/>
      <c r="E484" s="264">
        <v>100</v>
      </c>
      <c r="F484" s="264"/>
      <c r="G484" s="271"/>
      <c r="H484" s="271"/>
      <c r="I484" s="268"/>
      <c r="J484" s="271"/>
      <c r="K484" s="271"/>
      <c r="L484" s="271"/>
      <c r="M484" s="271"/>
      <c r="N484" s="271"/>
      <c r="O484" s="271"/>
      <c r="P484" s="265">
        <v>1350</v>
      </c>
      <c r="Q484" s="264">
        <v>1</v>
      </c>
      <c r="R484" s="264" t="s">
        <v>71</v>
      </c>
      <c r="S484" s="264">
        <v>2006</v>
      </c>
      <c r="T484" s="266" t="s">
        <v>163</v>
      </c>
      <c r="U484" s="267">
        <v>42653</v>
      </c>
      <c r="V484" s="269"/>
      <c r="W484" s="366">
        <f>COUNT(RawMaterials[[#This Row],[Lab Quantity 1]:[Lab Quantity 4]])</f>
        <v>0</v>
      </c>
      <c r="X4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4" s="367" t="e">
        <f>RawMaterials[[#This Row],[Lab Price 1]]/RawMaterials[[#This Row],[Lab Q Model Units 1]]</f>
        <v>#N/A</v>
      </c>
      <c r="AC484" s="367" t="e">
        <f>RawMaterials[[#This Row],[Lab Price 2]]/RawMaterials[[#This Row],[Lab Q Model Units 2]]</f>
        <v>#N/A</v>
      </c>
      <c r="AD484" s="367" t="e">
        <f>RawMaterials[[#This Row],[Lab Price 3]]/RawMaterials[[#This Row],[Lab Q Model Units 3]]</f>
        <v>#N/A</v>
      </c>
      <c r="AE484" s="367" t="e">
        <f>RawMaterials[[#This Row],[Lab Price 4]]/RawMaterials[[#This Row],[Lab Q Model Units 4]]</f>
        <v>#N/A</v>
      </c>
      <c r="AF484" s="367" t="str">
        <f ca="1">IF(RawMaterials[[#This Row],[Lab Quote Count]]&gt;1,SLOPE(LOG(INDIRECT("RawMaterials[@[Lab Unit P 1]:[Lab Unit P "&amp;RawMaterials[[#This Row],[Lab Quote Count]]&amp;"]]")),LOG(INDIRECT("RawMaterials[@[Lab Q Model Units 1]:[Lab Q Model Units "&amp;RawMaterials[[#This Row],[Lab Quote Count]]&amp;"]]"))),"")</f>
        <v/>
      </c>
      <c r="AG484" s="367" t="str">
        <f ca="1">IF(RawMaterials[[#This Row],[Lab Quote Count]]&gt;1,INTERCEPT(LOG(INDIRECT("RawMaterials[@[Lab Unit P 1]:[Lab Unit P "&amp;RawMaterials[[#This Row],[Lab Quote Count]]&amp;"]]")),LOG(INDIRECT("RawMaterials[@[Lab Q Model Units 1]:[Lab Q Model Units "&amp;RawMaterials[[#This Row],[Lab Quote Count]]&amp;"]]"))),"")</f>
        <v/>
      </c>
      <c r="AH484" s="368" t="str">
        <f>IF(RawMaterials[[#This Row],[Material Type]]="Metal Precursor","D13",IF(RawMaterials[[#This Row],[Material Type]]="Ligand","D13","D12"))</f>
        <v>D12</v>
      </c>
      <c r="AI484" s="369" t="str">
        <f ca="1">IF(RawMaterials[[#This Row],[Lab Quote Count]]&gt;1,10^RawMaterials[[#This Row],[Lab Log-Log Intercept]]*INDIRECT(RawMaterials[[#This Row],[Basis Cell]])^RawMaterials[[#This Row],[Lab Log-Log Slope]],"&gt;&gt;&gt; Enter 2 or more lab quotes &lt;&lt;&lt;")</f>
        <v>&gt;&gt;&gt; Enter 2 or more lab quotes &lt;&lt;&lt;</v>
      </c>
      <c r="AJ4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612.34969950000004</v>
      </c>
      <c r="AL484" s="372">
        <f>IF(ISTEXT(RawMaterials[[#This Row],[Unit price in quote year]]),"Check calcs",RawMaterials[[#This Row],[Unit price in quote year]]/VLOOKUP(RawMaterials[[#This Row],[Quote Year]],ChemPPI[],14,FALSE)*VLOOKUP(BasisYear,ChemPPI[],14,FALSE))</f>
        <v>831.09047122179891</v>
      </c>
      <c r="AM484" s="373" t="str">
        <f t="shared" si="7"/>
        <v>$/lb (2016)</v>
      </c>
    </row>
    <row r="485" spans="1:39">
      <c r="A485" s="263" t="s">
        <v>1581</v>
      </c>
      <c r="B485" s="264"/>
      <c r="C485" s="271"/>
      <c r="D485" s="365"/>
      <c r="E485" s="264">
        <v>100</v>
      </c>
      <c r="F485" s="264"/>
      <c r="G485" s="271"/>
      <c r="H485" s="271"/>
      <c r="I485" s="268"/>
      <c r="J485" s="271"/>
      <c r="K485" s="271"/>
      <c r="L485" s="271"/>
      <c r="M485" s="271"/>
      <c r="N485" s="271"/>
      <c r="O485" s="271"/>
      <c r="P485" s="265">
        <v>2.0249999999999999</v>
      </c>
      <c r="Q485" s="264">
        <v>1</v>
      </c>
      <c r="R485" s="264" t="s">
        <v>20</v>
      </c>
      <c r="S485" s="264">
        <v>2006</v>
      </c>
      <c r="T485" s="266" t="s">
        <v>163</v>
      </c>
      <c r="U485" s="267">
        <v>42653</v>
      </c>
      <c r="V485" s="269"/>
      <c r="W485" s="366">
        <f>COUNT(RawMaterials[[#This Row],[Lab Quantity 1]:[Lab Quantity 4]])</f>
        <v>0</v>
      </c>
      <c r="X4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5" s="367" t="e">
        <f>RawMaterials[[#This Row],[Lab Price 1]]/RawMaterials[[#This Row],[Lab Q Model Units 1]]</f>
        <v>#N/A</v>
      </c>
      <c r="AC485" s="367" t="e">
        <f>RawMaterials[[#This Row],[Lab Price 2]]/RawMaterials[[#This Row],[Lab Q Model Units 2]]</f>
        <v>#N/A</v>
      </c>
      <c r="AD485" s="367" t="e">
        <f>RawMaterials[[#This Row],[Lab Price 3]]/RawMaterials[[#This Row],[Lab Q Model Units 3]]</f>
        <v>#N/A</v>
      </c>
      <c r="AE485" s="367" t="e">
        <f>RawMaterials[[#This Row],[Lab Price 4]]/RawMaterials[[#This Row],[Lab Q Model Units 4]]</f>
        <v>#N/A</v>
      </c>
      <c r="AF485" s="367" t="str">
        <f ca="1">IF(RawMaterials[[#This Row],[Lab Quote Count]]&gt;1,SLOPE(LOG(INDIRECT("RawMaterials[@[Lab Unit P 1]:[Lab Unit P "&amp;RawMaterials[[#This Row],[Lab Quote Count]]&amp;"]]")),LOG(INDIRECT("RawMaterials[@[Lab Q Model Units 1]:[Lab Q Model Units "&amp;RawMaterials[[#This Row],[Lab Quote Count]]&amp;"]]"))),"")</f>
        <v/>
      </c>
      <c r="AG485" s="367" t="str">
        <f ca="1">IF(RawMaterials[[#This Row],[Lab Quote Count]]&gt;1,INTERCEPT(LOG(INDIRECT("RawMaterials[@[Lab Unit P 1]:[Lab Unit P "&amp;RawMaterials[[#This Row],[Lab Quote Count]]&amp;"]]")),LOG(INDIRECT("RawMaterials[@[Lab Q Model Units 1]:[Lab Q Model Units "&amp;RawMaterials[[#This Row],[Lab Quote Count]]&amp;"]]"))),"")</f>
        <v/>
      </c>
      <c r="AH485" s="368" t="str">
        <f>IF(RawMaterials[[#This Row],[Material Type]]="Metal Precursor","D13",IF(RawMaterials[[#This Row],[Material Type]]="Ligand","D13","D12"))</f>
        <v>D12</v>
      </c>
      <c r="AI485" s="369" t="str">
        <f ca="1">IF(RawMaterials[[#This Row],[Lab Quote Count]]&gt;1,10^RawMaterials[[#This Row],[Lab Log-Log Intercept]]*INDIRECT(RawMaterials[[#This Row],[Basis Cell]])^RawMaterials[[#This Row],[Lab Log-Log Slope]],"&gt;&gt;&gt; Enter 2 or more lab quotes &lt;&lt;&lt;")</f>
        <v>&gt;&gt;&gt; Enter 2 or more lab quotes &lt;&lt;&lt;</v>
      </c>
      <c r="AJ4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2.0249999999999999</v>
      </c>
      <c r="AL485" s="372">
        <f>IF(ISTEXT(RawMaterials[[#This Row],[Unit price in quote year]]),"Check calcs",RawMaterials[[#This Row],[Unit price in quote year]]/VLOOKUP(RawMaterials[[#This Row],[Quote Year]],ChemPPI[],14,FALSE)*VLOOKUP(BasisYear,ChemPPI[],14,FALSE))</f>
        <v>2.748361280487805</v>
      </c>
      <c r="AM485" s="373" t="str">
        <f t="shared" si="7"/>
        <v>$/lb (2016)</v>
      </c>
    </row>
    <row r="486" spans="1:39">
      <c r="A486" s="263" t="s">
        <v>1582</v>
      </c>
      <c r="B486" s="264"/>
      <c r="C486" s="271"/>
      <c r="D486" s="365"/>
      <c r="E486" s="264">
        <v>100</v>
      </c>
      <c r="F486" s="264"/>
      <c r="G486" s="271"/>
      <c r="H486" s="271"/>
      <c r="I486" s="268"/>
      <c r="J486" s="271"/>
      <c r="K486" s="271"/>
      <c r="L486" s="271"/>
      <c r="M486" s="271"/>
      <c r="N486" s="271"/>
      <c r="O486" s="271"/>
      <c r="P486" s="265">
        <v>1.9</v>
      </c>
      <c r="Q486" s="264">
        <v>1</v>
      </c>
      <c r="R486" s="264" t="s">
        <v>20</v>
      </c>
      <c r="S486" s="264">
        <v>2006</v>
      </c>
      <c r="T486" s="266" t="s">
        <v>163</v>
      </c>
      <c r="U486" s="267">
        <v>42653</v>
      </c>
      <c r="V486" s="269"/>
      <c r="W486" s="366">
        <f>COUNT(RawMaterials[[#This Row],[Lab Quantity 1]:[Lab Quantity 4]])</f>
        <v>0</v>
      </c>
      <c r="X4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6" s="367" t="e">
        <f>RawMaterials[[#This Row],[Lab Price 1]]/RawMaterials[[#This Row],[Lab Q Model Units 1]]</f>
        <v>#N/A</v>
      </c>
      <c r="AC486" s="367" t="e">
        <f>RawMaterials[[#This Row],[Lab Price 2]]/RawMaterials[[#This Row],[Lab Q Model Units 2]]</f>
        <v>#N/A</v>
      </c>
      <c r="AD486" s="367" t="e">
        <f>RawMaterials[[#This Row],[Lab Price 3]]/RawMaterials[[#This Row],[Lab Q Model Units 3]]</f>
        <v>#N/A</v>
      </c>
      <c r="AE486" s="367" t="e">
        <f>RawMaterials[[#This Row],[Lab Price 4]]/RawMaterials[[#This Row],[Lab Q Model Units 4]]</f>
        <v>#N/A</v>
      </c>
      <c r="AF486" s="367" t="str">
        <f ca="1">IF(RawMaterials[[#This Row],[Lab Quote Count]]&gt;1,SLOPE(LOG(INDIRECT("RawMaterials[@[Lab Unit P 1]:[Lab Unit P "&amp;RawMaterials[[#This Row],[Lab Quote Count]]&amp;"]]")),LOG(INDIRECT("RawMaterials[@[Lab Q Model Units 1]:[Lab Q Model Units "&amp;RawMaterials[[#This Row],[Lab Quote Count]]&amp;"]]"))),"")</f>
        <v/>
      </c>
      <c r="AG486" s="367" t="str">
        <f ca="1">IF(RawMaterials[[#This Row],[Lab Quote Count]]&gt;1,INTERCEPT(LOG(INDIRECT("RawMaterials[@[Lab Unit P 1]:[Lab Unit P "&amp;RawMaterials[[#This Row],[Lab Quote Count]]&amp;"]]")),LOG(INDIRECT("RawMaterials[@[Lab Q Model Units 1]:[Lab Q Model Units "&amp;RawMaterials[[#This Row],[Lab Quote Count]]&amp;"]]"))),"")</f>
        <v/>
      </c>
      <c r="AH486" s="368" t="str">
        <f>IF(RawMaterials[[#This Row],[Material Type]]="Metal Precursor","D13",IF(RawMaterials[[#This Row],[Material Type]]="Ligand","D13","D12"))</f>
        <v>D12</v>
      </c>
      <c r="AI486" s="369" t="str">
        <f ca="1">IF(RawMaterials[[#This Row],[Lab Quote Count]]&gt;1,10^RawMaterials[[#This Row],[Lab Log-Log Intercept]]*INDIRECT(RawMaterials[[#This Row],[Basis Cell]])^RawMaterials[[#This Row],[Lab Log-Log Slope]],"&gt;&gt;&gt; Enter 2 or more lab quotes &lt;&lt;&lt;")</f>
        <v>&gt;&gt;&gt; Enter 2 or more lab quotes &lt;&lt;&lt;</v>
      </c>
      <c r="AJ4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v>
      </c>
      <c r="AL486" s="372">
        <f>IF(ISTEXT(RawMaterials[[#This Row],[Unit price in quote year]]),"Check calcs",RawMaterials[[#This Row],[Unit price in quote year]]/VLOOKUP(RawMaterials[[#This Row],[Quote Year]],ChemPPI[],14,FALSE)*VLOOKUP(BasisYear,ChemPPI[],14,FALSE))</f>
        <v>2.5787093495934963</v>
      </c>
      <c r="AM486" s="373" t="str">
        <f t="shared" si="7"/>
        <v>$/lb (2016)</v>
      </c>
    </row>
    <row r="487" spans="1:39">
      <c r="A487" s="263" t="s">
        <v>1583</v>
      </c>
      <c r="B487" s="264"/>
      <c r="C487" s="271"/>
      <c r="D487" s="365"/>
      <c r="E487" s="264">
        <v>100</v>
      </c>
      <c r="F487" s="264"/>
      <c r="G487" s="271"/>
      <c r="H487" s="271"/>
      <c r="I487" s="268"/>
      <c r="J487" s="271"/>
      <c r="K487" s="271"/>
      <c r="L487" s="271"/>
      <c r="M487" s="271"/>
      <c r="N487" s="271"/>
      <c r="O487" s="271"/>
      <c r="P487" s="265">
        <v>0.68500000000000005</v>
      </c>
      <c r="Q487" s="264">
        <v>1</v>
      </c>
      <c r="R487" s="264" t="s">
        <v>20</v>
      </c>
      <c r="S487" s="264">
        <v>2006</v>
      </c>
      <c r="T487" s="266" t="s">
        <v>163</v>
      </c>
      <c r="U487" s="267">
        <v>42653</v>
      </c>
      <c r="V487" s="269"/>
      <c r="W487" s="366">
        <f>COUNT(RawMaterials[[#This Row],[Lab Quantity 1]:[Lab Quantity 4]])</f>
        <v>0</v>
      </c>
      <c r="X4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7" s="367" t="e">
        <f>RawMaterials[[#This Row],[Lab Price 1]]/RawMaterials[[#This Row],[Lab Q Model Units 1]]</f>
        <v>#N/A</v>
      </c>
      <c r="AC487" s="367" t="e">
        <f>RawMaterials[[#This Row],[Lab Price 2]]/RawMaterials[[#This Row],[Lab Q Model Units 2]]</f>
        <v>#N/A</v>
      </c>
      <c r="AD487" s="367" t="e">
        <f>RawMaterials[[#This Row],[Lab Price 3]]/RawMaterials[[#This Row],[Lab Q Model Units 3]]</f>
        <v>#N/A</v>
      </c>
      <c r="AE487" s="367" t="e">
        <f>RawMaterials[[#This Row],[Lab Price 4]]/RawMaterials[[#This Row],[Lab Q Model Units 4]]</f>
        <v>#N/A</v>
      </c>
      <c r="AF487" s="367" t="str">
        <f ca="1">IF(RawMaterials[[#This Row],[Lab Quote Count]]&gt;1,SLOPE(LOG(INDIRECT("RawMaterials[@[Lab Unit P 1]:[Lab Unit P "&amp;RawMaterials[[#This Row],[Lab Quote Count]]&amp;"]]")),LOG(INDIRECT("RawMaterials[@[Lab Q Model Units 1]:[Lab Q Model Units "&amp;RawMaterials[[#This Row],[Lab Quote Count]]&amp;"]]"))),"")</f>
        <v/>
      </c>
      <c r="AG487" s="367" t="str">
        <f ca="1">IF(RawMaterials[[#This Row],[Lab Quote Count]]&gt;1,INTERCEPT(LOG(INDIRECT("RawMaterials[@[Lab Unit P 1]:[Lab Unit P "&amp;RawMaterials[[#This Row],[Lab Quote Count]]&amp;"]]")),LOG(INDIRECT("RawMaterials[@[Lab Q Model Units 1]:[Lab Q Model Units "&amp;RawMaterials[[#This Row],[Lab Quote Count]]&amp;"]]"))),"")</f>
        <v/>
      </c>
      <c r="AH487" s="368" t="str">
        <f>IF(RawMaterials[[#This Row],[Material Type]]="Metal Precursor","D13",IF(RawMaterials[[#This Row],[Material Type]]="Ligand","D13","D12"))</f>
        <v>D12</v>
      </c>
      <c r="AI487" s="369" t="str">
        <f ca="1">IF(RawMaterials[[#This Row],[Lab Quote Count]]&gt;1,10^RawMaterials[[#This Row],[Lab Log-Log Intercept]]*INDIRECT(RawMaterials[[#This Row],[Basis Cell]])^RawMaterials[[#This Row],[Lab Log-Log Slope]],"&gt;&gt;&gt; Enter 2 or more lab quotes &lt;&lt;&lt;")</f>
        <v>&gt;&gt;&gt; Enter 2 or more lab quotes &lt;&lt;&lt;</v>
      </c>
      <c r="AJ4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487" s="372">
        <f>IF(ISTEXT(RawMaterials[[#This Row],[Unit price in quote year]]),"Check calcs",RawMaterials[[#This Row],[Unit price in quote year]]/VLOOKUP(RawMaterials[[#This Row],[Quote Year]],ChemPPI[],14,FALSE)*VLOOKUP(BasisYear,ChemPPI[],14,FALSE))</f>
        <v>0.92969258130081323</v>
      </c>
      <c r="AM487" s="373" t="str">
        <f t="shared" si="7"/>
        <v>$/lb (2016)</v>
      </c>
    </row>
    <row r="488" spans="1:39">
      <c r="A488" s="377" t="s">
        <v>189</v>
      </c>
      <c r="B488" s="379"/>
      <c r="C488" s="383"/>
      <c r="D488" s="378"/>
      <c r="E488" s="379">
        <v>100</v>
      </c>
      <c r="F488" s="379"/>
      <c r="G488" s="383"/>
      <c r="H488" s="383"/>
      <c r="I488" s="380"/>
      <c r="J488" s="383"/>
      <c r="K488" s="383"/>
      <c r="L488" s="383"/>
      <c r="M488" s="383"/>
      <c r="N488" s="383"/>
      <c r="O488" s="383"/>
      <c r="P488" s="381">
        <v>14.58</v>
      </c>
      <c r="Q488" s="264">
        <v>1</v>
      </c>
      <c r="R488" s="379" t="s">
        <v>62</v>
      </c>
      <c r="S488" s="379">
        <v>2018</v>
      </c>
      <c r="T488" s="366" t="s">
        <v>1105</v>
      </c>
      <c r="U488" s="382">
        <v>43339</v>
      </c>
      <c r="V488" s="269" t="s">
        <v>1716</v>
      </c>
      <c r="W488" s="366">
        <f>COUNT(RawMaterials[[#This Row],[Lab Quantity 1]:[Lab Quantity 4]])</f>
        <v>0</v>
      </c>
      <c r="X4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8" s="367" t="e">
        <f>RawMaterials[[#This Row],[Lab Price 1]]/RawMaterials[[#This Row],[Lab Q Model Units 1]]</f>
        <v>#N/A</v>
      </c>
      <c r="AC488" s="367" t="e">
        <f>RawMaterials[[#This Row],[Lab Price 2]]/RawMaterials[[#This Row],[Lab Q Model Units 2]]</f>
        <v>#N/A</v>
      </c>
      <c r="AD488" s="367" t="e">
        <f>RawMaterials[[#This Row],[Lab Price 3]]/RawMaterials[[#This Row],[Lab Q Model Units 3]]</f>
        <v>#N/A</v>
      </c>
      <c r="AE488" s="367" t="e">
        <f>RawMaterials[[#This Row],[Lab Price 4]]/RawMaterials[[#This Row],[Lab Q Model Units 4]]</f>
        <v>#N/A</v>
      </c>
      <c r="AF488" s="367" t="str">
        <f ca="1">IF(RawMaterials[[#This Row],[Lab Quote Count]]&gt;1,SLOPE(LOG(INDIRECT("RawMaterials[@[Lab Unit P 1]:[Lab Unit P "&amp;RawMaterials[[#This Row],[Lab Quote Count]]&amp;"]]")),LOG(INDIRECT("RawMaterials[@[Lab Q Model Units 1]:[Lab Q Model Units "&amp;RawMaterials[[#This Row],[Lab Quote Count]]&amp;"]]"))),"")</f>
        <v/>
      </c>
      <c r="AG488" s="367" t="str">
        <f ca="1">IF(RawMaterials[[#This Row],[Lab Quote Count]]&gt;1,INTERCEPT(LOG(INDIRECT("RawMaterials[@[Lab Unit P 1]:[Lab Unit P "&amp;RawMaterials[[#This Row],[Lab Quote Count]]&amp;"]]")),LOG(INDIRECT("RawMaterials[@[Lab Q Model Units 1]:[Lab Q Model Units "&amp;RawMaterials[[#This Row],[Lab Quote Count]]&amp;"]]"))),"")</f>
        <v/>
      </c>
      <c r="AH488" s="368" t="str">
        <f>IF(RawMaterials[[#This Row],[Material Type]]="Metal Precursor","D13",IF(RawMaterials[[#This Row],[Material Type]]="Ligand","D13","D12"))</f>
        <v>D12</v>
      </c>
      <c r="AI488" s="369" t="str">
        <f ca="1">IF(RawMaterials[[#This Row],[Lab Quote Count]]&gt;1,10^RawMaterials[[#This Row],[Lab Log-Log Intercept]]*INDIRECT(RawMaterials[[#This Row],[Basis Cell]])^RawMaterials[[#This Row],[Lab Log-Log Slope]],"&gt;&gt;&gt; Enter 2 or more lab quotes &lt;&lt;&lt;")</f>
        <v>&gt;&gt;&gt; Enter 2 or more lab quotes &lt;&lt;&lt;</v>
      </c>
      <c r="AJ4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6.8571428571428561E-2</v>
      </c>
      <c r="AK4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212.62500000000003</v>
      </c>
      <c r="AL488" s="372">
        <f>IF(ISTEXT(RawMaterials[[#This Row],[Unit price in quote year]]),"Check calcs",RawMaterials[[#This Row],[Unit price in quote year]]/VLOOKUP(RawMaterials[[#This Row],[Quote Year]],ChemPPI[],14,FALSE)*VLOOKUP(BasisYear,ChemPPI[],14,FALSE))</f>
        <v>197.5516122860721</v>
      </c>
      <c r="AM488" s="373" t="str">
        <f t="shared" si="7"/>
        <v>$/lb (2016)</v>
      </c>
    </row>
    <row r="489" spans="1:39">
      <c r="A489" s="263" t="s">
        <v>1584</v>
      </c>
      <c r="B489" s="264"/>
      <c r="C489" s="271"/>
      <c r="D489" s="365"/>
      <c r="E489" s="264">
        <v>100</v>
      </c>
      <c r="F489" s="264"/>
      <c r="G489" s="271"/>
      <c r="H489" s="271"/>
      <c r="I489" s="268"/>
      <c r="J489" s="271"/>
      <c r="K489" s="271"/>
      <c r="L489" s="271"/>
      <c r="M489" s="271"/>
      <c r="N489" s="271"/>
      <c r="O489" s="271"/>
      <c r="P489" s="265">
        <v>165</v>
      </c>
      <c r="Q489" s="264">
        <v>1</v>
      </c>
      <c r="R489" s="264" t="s">
        <v>406</v>
      </c>
      <c r="S489" s="264">
        <v>2008</v>
      </c>
      <c r="T489" s="266" t="s">
        <v>163</v>
      </c>
      <c r="U489" s="267">
        <v>42653</v>
      </c>
      <c r="V489" s="269"/>
      <c r="W489" s="366">
        <f>COUNT(RawMaterials[[#This Row],[Lab Quantity 1]:[Lab Quantity 4]])</f>
        <v>0</v>
      </c>
      <c r="X4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89" s="367" t="e">
        <f>RawMaterials[[#This Row],[Lab Price 1]]/RawMaterials[[#This Row],[Lab Q Model Units 1]]</f>
        <v>#N/A</v>
      </c>
      <c r="AC489" s="367" t="e">
        <f>RawMaterials[[#This Row],[Lab Price 2]]/RawMaterials[[#This Row],[Lab Q Model Units 2]]</f>
        <v>#N/A</v>
      </c>
      <c r="AD489" s="367" t="e">
        <f>RawMaterials[[#This Row],[Lab Price 3]]/RawMaterials[[#This Row],[Lab Q Model Units 3]]</f>
        <v>#N/A</v>
      </c>
      <c r="AE489" s="367" t="e">
        <f>RawMaterials[[#This Row],[Lab Price 4]]/RawMaterials[[#This Row],[Lab Q Model Units 4]]</f>
        <v>#N/A</v>
      </c>
      <c r="AF489" s="367" t="str">
        <f ca="1">IF(RawMaterials[[#This Row],[Lab Quote Count]]&gt;1,SLOPE(LOG(INDIRECT("RawMaterials[@[Lab Unit P 1]:[Lab Unit P "&amp;RawMaterials[[#This Row],[Lab Quote Count]]&amp;"]]")),LOG(INDIRECT("RawMaterials[@[Lab Q Model Units 1]:[Lab Q Model Units "&amp;RawMaterials[[#This Row],[Lab Quote Count]]&amp;"]]"))),"")</f>
        <v/>
      </c>
      <c r="AG489" s="367" t="str">
        <f ca="1">IF(RawMaterials[[#This Row],[Lab Quote Count]]&gt;1,INTERCEPT(LOG(INDIRECT("RawMaterials[@[Lab Unit P 1]:[Lab Unit P "&amp;RawMaterials[[#This Row],[Lab Quote Count]]&amp;"]]")),LOG(INDIRECT("RawMaterials[@[Lab Q Model Units 1]:[Lab Q Model Units "&amp;RawMaterials[[#This Row],[Lab Quote Count]]&amp;"]]"))),"")</f>
        <v/>
      </c>
      <c r="AH489" s="368" t="str">
        <f>IF(RawMaterials[[#This Row],[Material Type]]="Metal Precursor","D13",IF(RawMaterials[[#This Row],[Material Type]]="Ligand","D13","D12"))</f>
        <v>D12</v>
      </c>
      <c r="AI489" s="369" t="str">
        <f ca="1">IF(RawMaterials[[#This Row],[Lab Quote Count]]&gt;1,10^RawMaterials[[#This Row],[Lab Log-Log Intercept]]*INDIRECT(RawMaterials[[#This Row],[Basis Cell]])^RawMaterials[[#This Row],[Lab Log-Log Slope]],"&gt;&gt;&gt; Enter 2 or more lab quotes &lt;&lt;&lt;")</f>
        <v>&gt;&gt;&gt; Enter 2 or more lab quotes &lt;&lt;&lt;</v>
      </c>
      <c r="AJ4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4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8.2500000000000004E-2</v>
      </c>
      <c r="AL489" s="372">
        <f>IF(ISTEXT(RawMaterials[[#This Row],[Unit price in quote year]]),"Check calcs",RawMaterials[[#This Row],[Unit price in quote year]]/VLOOKUP(RawMaterials[[#This Row],[Quote Year]],ChemPPI[],14,FALSE)*VLOOKUP(BasisYear,ChemPPI[],14,FALSE))</f>
        <v>9.6559795508490059E-2</v>
      </c>
      <c r="AM489" s="373" t="str">
        <f t="shared" si="7"/>
        <v>$/lb (2016)</v>
      </c>
    </row>
    <row r="490" spans="1:39">
      <c r="A490" s="263" t="s">
        <v>1585</v>
      </c>
      <c r="B490" s="264"/>
      <c r="C490" s="271"/>
      <c r="D490" s="365"/>
      <c r="E490" s="264">
        <v>100</v>
      </c>
      <c r="F490" s="264"/>
      <c r="G490" s="271"/>
      <c r="H490" s="271"/>
      <c r="I490" s="268"/>
      <c r="J490" s="271"/>
      <c r="K490" s="271"/>
      <c r="L490" s="271"/>
      <c r="M490" s="271"/>
      <c r="N490" s="271"/>
      <c r="O490" s="271"/>
      <c r="P490" s="265">
        <v>5.75</v>
      </c>
      <c r="Q490" s="264">
        <v>1</v>
      </c>
      <c r="R490" s="264" t="s">
        <v>20</v>
      </c>
      <c r="S490" s="264">
        <v>2006</v>
      </c>
      <c r="T490" s="266" t="s">
        <v>163</v>
      </c>
      <c r="U490" s="267">
        <v>42653</v>
      </c>
      <c r="V490" s="269"/>
      <c r="W490" s="366">
        <f>COUNT(RawMaterials[[#This Row],[Lab Quantity 1]:[Lab Quantity 4]])</f>
        <v>0</v>
      </c>
      <c r="X4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0" s="367" t="e">
        <f>RawMaterials[[#This Row],[Lab Price 1]]/RawMaterials[[#This Row],[Lab Q Model Units 1]]</f>
        <v>#N/A</v>
      </c>
      <c r="AC490" s="367" t="e">
        <f>RawMaterials[[#This Row],[Lab Price 2]]/RawMaterials[[#This Row],[Lab Q Model Units 2]]</f>
        <v>#N/A</v>
      </c>
      <c r="AD490" s="367" t="e">
        <f>RawMaterials[[#This Row],[Lab Price 3]]/RawMaterials[[#This Row],[Lab Q Model Units 3]]</f>
        <v>#N/A</v>
      </c>
      <c r="AE490" s="367" t="e">
        <f>RawMaterials[[#This Row],[Lab Price 4]]/RawMaterials[[#This Row],[Lab Q Model Units 4]]</f>
        <v>#N/A</v>
      </c>
      <c r="AF490" s="367" t="str">
        <f ca="1">IF(RawMaterials[[#This Row],[Lab Quote Count]]&gt;1,SLOPE(LOG(INDIRECT("RawMaterials[@[Lab Unit P 1]:[Lab Unit P "&amp;RawMaterials[[#This Row],[Lab Quote Count]]&amp;"]]")),LOG(INDIRECT("RawMaterials[@[Lab Q Model Units 1]:[Lab Q Model Units "&amp;RawMaterials[[#This Row],[Lab Quote Count]]&amp;"]]"))),"")</f>
        <v/>
      </c>
      <c r="AG490" s="367" t="str">
        <f ca="1">IF(RawMaterials[[#This Row],[Lab Quote Count]]&gt;1,INTERCEPT(LOG(INDIRECT("RawMaterials[@[Lab Unit P 1]:[Lab Unit P "&amp;RawMaterials[[#This Row],[Lab Quote Count]]&amp;"]]")),LOG(INDIRECT("RawMaterials[@[Lab Q Model Units 1]:[Lab Q Model Units "&amp;RawMaterials[[#This Row],[Lab Quote Count]]&amp;"]]"))),"")</f>
        <v/>
      </c>
      <c r="AH490" s="368" t="str">
        <f>IF(RawMaterials[[#This Row],[Material Type]]="Metal Precursor","D13",IF(RawMaterials[[#This Row],[Material Type]]="Ligand","D13","D12"))</f>
        <v>D12</v>
      </c>
      <c r="AI490" s="369" t="str">
        <f ca="1">IF(RawMaterials[[#This Row],[Lab Quote Count]]&gt;1,10^RawMaterials[[#This Row],[Lab Log-Log Intercept]]*INDIRECT(RawMaterials[[#This Row],[Basis Cell]])^RawMaterials[[#This Row],[Lab Log-Log Slope]],"&gt;&gt;&gt; Enter 2 or more lab quotes &lt;&lt;&lt;")</f>
        <v>&gt;&gt;&gt; Enter 2 or more lab quotes &lt;&lt;&lt;</v>
      </c>
      <c r="AJ4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5.75</v>
      </c>
      <c r="AL490" s="372">
        <f>IF(ISTEXT(RawMaterials[[#This Row],[Unit price in quote year]]),"Check calcs",RawMaterials[[#This Row],[Unit price in quote year]]/VLOOKUP(RawMaterials[[#This Row],[Quote Year]],ChemPPI[],14,FALSE)*VLOOKUP(BasisYear,ChemPPI[],14,FALSE))</f>
        <v>7.8039888211382129</v>
      </c>
      <c r="AM490" s="373" t="str">
        <f t="shared" si="7"/>
        <v>$/lb (2016)</v>
      </c>
    </row>
    <row r="491" spans="1:39">
      <c r="A491" s="263" t="s">
        <v>1586</v>
      </c>
      <c r="B491" s="264"/>
      <c r="C491" s="271"/>
      <c r="D491" s="365"/>
      <c r="E491" s="264">
        <v>100</v>
      </c>
      <c r="F491" s="264"/>
      <c r="G491" s="271"/>
      <c r="H491" s="271"/>
      <c r="I491" s="268"/>
      <c r="J491" s="271"/>
      <c r="K491" s="271"/>
      <c r="L491" s="271"/>
      <c r="M491" s="271"/>
      <c r="N491" s="271"/>
      <c r="O491" s="271"/>
      <c r="P491" s="265">
        <v>13.75</v>
      </c>
      <c r="Q491" s="264">
        <v>1</v>
      </c>
      <c r="R491" s="264" t="s">
        <v>71</v>
      </c>
      <c r="S491" s="264">
        <v>2006</v>
      </c>
      <c r="T491" s="266" t="s">
        <v>163</v>
      </c>
      <c r="U491" s="267">
        <v>42653</v>
      </c>
      <c r="V491" s="269"/>
      <c r="W491" s="366">
        <f>COUNT(RawMaterials[[#This Row],[Lab Quantity 1]:[Lab Quantity 4]])</f>
        <v>0</v>
      </c>
      <c r="X4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1" s="367" t="e">
        <f>RawMaterials[[#This Row],[Lab Price 1]]/RawMaterials[[#This Row],[Lab Q Model Units 1]]</f>
        <v>#N/A</v>
      </c>
      <c r="AC491" s="367" t="e">
        <f>RawMaterials[[#This Row],[Lab Price 2]]/RawMaterials[[#This Row],[Lab Q Model Units 2]]</f>
        <v>#N/A</v>
      </c>
      <c r="AD491" s="367" t="e">
        <f>RawMaterials[[#This Row],[Lab Price 3]]/RawMaterials[[#This Row],[Lab Q Model Units 3]]</f>
        <v>#N/A</v>
      </c>
      <c r="AE491" s="367" t="e">
        <f>RawMaterials[[#This Row],[Lab Price 4]]/RawMaterials[[#This Row],[Lab Q Model Units 4]]</f>
        <v>#N/A</v>
      </c>
      <c r="AF491" s="367" t="str">
        <f ca="1">IF(RawMaterials[[#This Row],[Lab Quote Count]]&gt;1,SLOPE(LOG(INDIRECT("RawMaterials[@[Lab Unit P 1]:[Lab Unit P "&amp;RawMaterials[[#This Row],[Lab Quote Count]]&amp;"]]")),LOG(INDIRECT("RawMaterials[@[Lab Q Model Units 1]:[Lab Q Model Units "&amp;RawMaterials[[#This Row],[Lab Quote Count]]&amp;"]]"))),"")</f>
        <v/>
      </c>
      <c r="AG491" s="367" t="str">
        <f ca="1">IF(RawMaterials[[#This Row],[Lab Quote Count]]&gt;1,INTERCEPT(LOG(INDIRECT("RawMaterials[@[Lab Unit P 1]:[Lab Unit P "&amp;RawMaterials[[#This Row],[Lab Quote Count]]&amp;"]]")),LOG(INDIRECT("RawMaterials[@[Lab Q Model Units 1]:[Lab Q Model Units "&amp;RawMaterials[[#This Row],[Lab Quote Count]]&amp;"]]"))),"")</f>
        <v/>
      </c>
      <c r="AH491" s="368" t="str">
        <f>IF(RawMaterials[[#This Row],[Material Type]]="Metal Precursor","D13",IF(RawMaterials[[#This Row],[Material Type]]="Ligand","D13","D12"))</f>
        <v>D12</v>
      </c>
      <c r="AI491" s="369" t="str">
        <f ca="1">IF(RawMaterials[[#This Row],[Lab Quote Count]]&gt;1,10^RawMaterials[[#This Row],[Lab Log-Log Intercept]]*INDIRECT(RawMaterials[[#This Row],[Basis Cell]])^RawMaterials[[#This Row],[Lab Log-Log Slope]],"&gt;&gt;&gt; Enter 2 or more lab quotes &lt;&lt;&lt;")</f>
        <v>&gt;&gt;&gt; Enter 2 or more lab quotes &lt;&lt;&lt;</v>
      </c>
      <c r="AJ4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4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6.2368950875000007</v>
      </c>
      <c r="AL491" s="372">
        <f>IF(ISTEXT(RawMaterials[[#This Row],[Unit price in quote year]]),"Check calcs",RawMaterials[[#This Row],[Unit price in quote year]]/VLOOKUP(RawMaterials[[#This Row],[Quote Year]],ChemPPI[],14,FALSE)*VLOOKUP(BasisYear,ChemPPI[],14,FALSE))</f>
        <v>8.4648103550368425</v>
      </c>
      <c r="AM491" s="373" t="str">
        <f t="shared" si="7"/>
        <v>$/lb (2016)</v>
      </c>
    </row>
    <row r="492" spans="1:39">
      <c r="A492" s="263" t="s">
        <v>1587</v>
      </c>
      <c r="B492" s="264"/>
      <c r="C492" s="271"/>
      <c r="D492" s="365"/>
      <c r="E492" s="264">
        <v>100</v>
      </c>
      <c r="F492" s="264"/>
      <c r="G492" s="271"/>
      <c r="H492" s="271"/>
      <c r="I492" s="268"/>
      <c r="J492" s="271"/>
      <c r="K492" s="271"/>
      <c r="L492" s="271"/>
      <c r="M492" s="271"/>
      <c r="N492" s="271"/>
      <c r="O492" s="271"/>
      <c r="P492" s="265">
        <v>0.80500000000000005</v>
      </c>
      <c r="Q492" s="264">
        <v>1</v>
      </c>
      <c r="R492" s="264" t="s">
        <v>20</v>
      </c>
      <c r="S492" s="264">
        <v>2006</v>
      </c>
      <c r="T492" s="266" t="s">
        <v>163</v>
      </c>
      <c r="U492" s="267">
        <v>42653</v>
      </c>
      <c r="V492" s="269"/>
      <c r="W492" s="366">
        <f>COUNT(RawMaterials[[#This Row],[Lab Quantity 1]:[Lab Quantity 4]])</f>
        <v>0</v>
      </c>
      <c r="X4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2" s="367" t="e">
        <f>RawMaterials[[#This Row],[Lab Price 1]]/RawMaterials[[#This Row],[Lab Q Model Units 1]]</f>
        <v>#N/A</v>
      </c>
      <c r="AC492" s="367" t="e">
        <f>RawMaterials[[#This Row],[Lab Price 2]]/RawMaterials[[#This Row],[Lab Q Model Units 2]]</f>
        <v>#N/A</v>
      </c>
      <c r="AD492" s="367" t="e">
        <f>RawMaterials[[#This Row],[Lab Price 3]]/RawMaterials[[#This Row],[Lab Q Model Units 3]]</f>
        <v>#N/A</v>
      </c>
      <c r="AE492" s="367" t="e">
        <f>RawMaterials[[#This Row],[Lab Price 4]]/RawMaterials[[#This Row],[Lab Q Model Units 4]]</f>
        <v>#N/A</v>
      </c>
      <c r="AF492" s="367" t="str">
        <f ca="1">IF(RawMaterials[[#This Row],[Lab Quote Count]]&gt;1,SLOPE(LOG(INDIRECT("RawMaterials[@[Lab Unit P 1]:[Lab Unit P "&amp;RawMaterials[[#This Row],[Lab Quote Count]]&amp;"]]")),LOG(INDIRECT("RawMaterials[@[Lab Q Model Units 1]:[Lab Q Model Units "&amp;RawMaterials[[#This Row],[Lab Quote Count]]&amp;"]]"))),"")</f>
        <v/>
      </c>
      <c r="AG492" s="367" t="str">
        <f ca="1">IF(RawMaterials[[#This Row],[Lab Quote Count]]&gt;1,INTERCEPT(LOG(INDIRECT("RawMaterials[@[Lab Unit P 1]:[Lab Unit P "&amp;RawMaterials[[#This Row],[Lab Quote Count]]&amp;"]]")),LOG(INDIRECT("RawMaterials[@[Lab Q Model Units 1]:[Lab Q Model Units "&amp;RawMaterials[[#This Row],[Lab Quote Count]]&amp;"]]"))),"")</f>
        <v/>
      </c>
      <c r="AH492" s="368" t="str">
        <f>IF(RawMaterials[[#This Row],[Material Type]]="Metal Precursor","D13",IF(RawMaterials[[#This Row],[Material Type]]="Ligand","D13","D12"))</f>
        <v>D12</v>
      </c>
      <c r="AI492" s="369" t="str">
        <f ca="1">IF(RawMaterials[[#This Row],[Lab Quote Count]]&gt;1,10^RawMaterials[[#This Row],[Lab Log-Log Intercept]]*INDIRECT(RawMaterials[[#This Row],[Basis Cell]])^RawMaterials[[#This Row],[Lab Log-Log Slope]],"&gt;&gt;&gt; Enter 2 or more lab quotes &lt;&lt;&lt;")</f>
        <v>&gt;&gt;&gt; Enter 2 or more lab quotes &lt;&lt;&lt;</v>
      </c>
      <c r="AJ4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492" s="372">
        <f>IF(ISTEXT(RawMaterials[[#This Row],[Unit price in quote year]]),"Check calcs",RawMaterials[[#This Row],[Unit price in quote year]]/VLOOKUP(RawMaterials[[#This Row],[Quote Year]],ChemPPI[],14,FALSE)*VLOOKUP(BasisYear,ChemPPI[],14,FALSE))</f>
        <v>1.0925584349593498</v>
      </c>
      <c r="AM492" s="373" t="str">
        <f t="shared" si="7"/>
        <v>$/lb (2016)</v>
      </c>
    </row>
    <row r="493" spans="1:39">
      <c r="A493" s="263" t="s">
        <v>1588</v>
      </c>
      <c r="B493" s="264"/>
      <c r="C493" s="271"/>
      <c r="D493" s="365"/>
      <c r="E493" s="264">
        <v>100</v>
      </c>
      <c r="F493" s="264"/>
      <c r="G493" s="271"/>
      <c r="H493" s="271"/>
      <c r="I493" s="268"/>
      <c r="J493" s="271"/>
      <c r="K493" s="271"/>
      <c r="L493" s="271"/>
      <c r="M493" s="271"/>
      <c r="N493" s="271"/>
      <c r="O493" s="271"/>
      <c r="P493" s="265">
        <v>0.89500000000000002</v>
      </c>
      <c r="Q493" s="264">
        <v>1</v>
      </c>
      <c r="R493" s="264" t="s">
        <v>20</v>
      </c>
      <c r="S493" s="264">
        <v>2006</v>
      </c>
      <c r="T493" s="266" t="s">
        <v>163</v>
      </c>
      <c r="U493" s="267">
        <v>42653</v>
      </c>
      <c r="V493" s="269"/>
      <c r="W493" s="366">
        <f>COUNT(RawMaterials[[#This Row],[Lab Quantity 1]:[Lab Quantity 4]])</f>
        <v>0</v>
      </c>
      <c r="X4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3" s="367" t="e">
        <f>RawMaterials[[#This Row],[Lab Price 1]]/RawMaterials[[#This Row],[Lab Q Model Units 1]]</f>
        <v>#N/A</v>
      </c>
      <c r="AC493" s="367" t="e">
        <f>RawMaterials[[#This Row],[Lab Price 2]]/RawMaterials[[#This Row],[Lab Q Model Units 2]]</f>
        <v>#N/A</v>
      </c>
      <c r="AD493" s="367" t="e">
        <f>RawMaterials[[#This Row],[Lab Price 3]]/RawMaterials[[#This Row],[Lab Q Model Units 3]]</f>
        <v>#N/A</v>
      </c>
      <c r="AE493" s="367" t="e">
        <f>RawMaterials[[#This Row],[Lab Price 4]]/RawMaterials[[#This Row],[Lab Q Model Units 4]]</f>
        <v>#N/A</v>
      </c>
      <c r="AF493" s="367" t="str">
        <f ca="1">IF(RawMaterials[[#This Row],[Lab Quote Count]]&gt;1,SLOPE(LOG(INDIRECT("RawMaterials[@[Lab Unit P 1]:[Lab Unit P "&amp;RawMaterials[[#This Row],[Lab Quote Count]]&amp;"]]")),LOG(INDIRECT("RawMaterials[@[Lab Q Model Units 1]:[Lab Q Model Units "&amp;RawMaterials[[#This Row],[Lab Quote Count]]&amp;"]]"))),"")</f>
        <v/>
      </c>
      <c r="AG493" s="367" t="str">
        <f ca="1">IF(RawMaterials[[#This Row],[Lab Quote Count]]&gt;1,INTERCEPT(LOG(INDIRECT("RawMaterials[@[Lab Unit P 1]:[Lab Unit P "&amp;RawMaterials[[#This Row],[Lab Quote Count]]&amp;"]]")),LOG(INDIRECT("RawMaterials[@[Lab Q Model Units 1]:[Lab Q Model Units "&amp;RawMaterials[[#This Row],[Lab Quote Count]]&amp;"]]"))),"")</f>
        <v/>
      </c>
      <c r="AH493" s="368" t="str">
        <f>IF(RawMaterials[[#This Row],[Material Type]]="Metal Precursor","D13",IF(RawMaterials[[#This Row],[Material Type]]="Ligand","D13","D12"))</f>
        <v>D12</v>
      </c>
      <c r="AI493" s="369" t="str">
        <f ca="1">IF(RawMaterials[[#This Row],[Lab Quote Count]]&gt;1,10^RawMaterials[[#This Row],[Lab Log-Log Intercept]]*INDIRECT(RawMaterials[[#This Row],[Basis Cell]])^RawMaterials[[#This Row],[Lab Log-Log Slope]],"&gt;&gt;&gt; Enter 2 or more lab quotes &lt;&lt;&lt;")</f>
        <v>&gt;&gt;&gt; Enter 2 or more lab quotes &lt;&lt;&lt;</v>
      </c>
      <c r="AJ4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0.89500000000000002</v>
      </c>
      <c r="AL493" s="372">
        <f>IF(ISTEXT(RawMaterials[[#This Row],[Unit price in quote year]]),"Check calcs",RawMaterials[[#This Row],[Unit price in quote year]]/VLOOKUP(RawMaterials[[#This Row],[Quote Year]],ChemPPI[],14,FALSE)*VLOOKUP(BasisYear,ChemPPI[],14,FALSE))</f>
        <v>1.2147078252032522</v>
      </c>
      <c r="AM493" s="373" t="str">
        <f t="shared" si="7"/>
        <v>$/lb (2016)</v>
      </c>
    </row>
    <row r="494" spans="1:39">
      <c r="A494" s="263" t="s">
        <v>1589</v>
      </c>
      <c r="B494" s="264"/>
      <c r="C494" s="271"/>
      <c r="D494" s="365"/>
      <c r="E494" s="264">
        <v>100</v>
      </c>
      <c r="F494" s="264"/>
      <c r="G494" s="271"/>
      <c r="H494" s="271"/>
      <c r="I494" s="268"/>
      <c r="J494" s="271"/>
      <c r="K494" s="271"/>
      <c r="L494" s="271"/>
      <c r="M494" s="271"/>
      <c r="N494" s="271"/>
      <c r="O494" s="271"/>
      <c r="P494" s="265">
        <v>0.83499999999999996</v>
      </c>
      <c r="Q494" s="264">
        <v>1</v>
      </c>
      <c r="R494" s="264" t="s">
        <v>20</v>
      </c>
      <c r="S494" s="264">
        <v>2006</v>
      </c>
      <c r="T494" s="266" t="s">
        <v>163</v>
      </c>
      <c r="U494" s="267">
        <v>42653</v>
      </c>
      <c r="V494" s="269"/>
      <c r="W494" s="366">
        <f>COUNT(RawMaterials[[#This Row],[Lab Quantity 1]:[Lab Quantity 4]])</f>
        <v>0</v>
      </c>
      <c r="X4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4" s="367" t="e">
        <f>RawMaterials[[#This Row],[Lab Price 1]]/RawMaterials[[#This Row],[Lab Q Model Units 1]]</f>
        <v>#N/A</v>
      </c>
      <c r="AC494" s="367" t="e">
        <f>RawMaterials[[#This Row],[Lab Price 2]]/RawMaterials[[#This Row],[Lab Q Model Units 2]]</f>
        <v>#N/A</v>
      </c>
      <c r="AD494" s="367" t="e">
        <f>RawMaterials[[#This Row],[Lab Price 3]]/RawMaterials[[#This Row],[Lab Q Model Units 3]]</f>
        <v>#N/A</v>
      </c>
      <c r="AE494" s="367" t="e">
        <f>RawMaterials[[#This Row],[Lab Price 4]]/RawMaterials[[#This Row],[Lab Q Model Units 4]]</f>
        <v>#N/A</v>
      </c>
      <c r="AF494" s="367" t="str">
        <f ca="1">IF(RawMaterials[[#This Row],[Lab Quote Count]]&gt;1,SLOPE(LOG(INDIRECT("RawMaterials[@[Lab Unit P 1]:[Lab Unit P "&amp;RawMaterials[[#This Row],[Lab Quote Count]]&amp;"]]")),LOG(INDIRECT("RawMaterials[@[Lab Q Model Units 1]:[Lab Q Model Units "&amp;RawMaterials[[#This Row],[Lab Quote Count]]&amp;"]]"))),"")</f>
        <v/>
      </c>
      <c r="AG494" s="367" t="str">
        <f ca="1">IF(RawMaterials[[#This Row],[Lab Quote Count]]&gt;1,INTERCEPT(LOG(INDIRECT("RawMaterials[@[Lab Unit P 1]:[Lab Unit P "&amp;RawMaterials[[#This Row],[Lab Quote Count]]&amp;"]]")),LOG(INDIRECT("RawMaterials[@[Lab Q Model Units 1]:[Lab Q Model Units "&amp;RawMaterials[[#This Row],[Lab Quote Count]]&amp;"]]"))),"")</f>
        <v/>
      </c>
      <c r="AH494" s="368" t="str">
        <f>IF(RawMaterials[[#This Row],[Material Type]]="Metal Precursor","D13",IF(RawMaterials[[#This Row],[Material Type]]="Ligand","D13","D12"))</f>
        <v>D12</v>
      </c>
      <c r="AI494" s="369" t="str">
        <f ca="1">IF(RawMaterials[[#This Row],[Lab Quote Count]]&gt;1,10^RawMaterials[[#This Row],[Lab Log-Log Intercept]]*INDIRECT(RawMaterials[[#This Row],[Basis Cell]])^RawMaterials[[#This Row],[Lab Log-Log Slope]],"&gt;&gt;&gt; Enter 2 or more lab quotes &lt;&lt;&lt;")</f>
        <v>&gt;&gt;&gt; Enter 2 or more lab quotes &lt;&lt;&lt;</v>
      </c>
      <c r="AJ4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4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0.83499999999999996</v>
      </c>
      <c r="AL494" s="372">
        <f>IF(ISTEXT(RawMaterials[[#This Row],[Unit price in quote year]]),"Check calcs",RawMaterials[[#This Row],[Unit price in quote year]]/VLOOKUP(RawMaterials[[#This Row],[Quote Year]],ChemPPI[],14,FALSE)*VLOOKUP(BasisYear,ChemPPI[],14,FALSE))</f>
        <v>1.1332748983739838</v>
      </c>
      <c r="AM494" s="373" t="str">
        <f t="shared" si="7"/>
        <v>$/lb (2016)</v>
      </c>
    </row>
    <row r="495" spans="1:39">
      <c r="A495" s="263" t="s">
        <v>1590</v>
      </c>
      <c r="B495" s="264"/>
      <c r="C495" s="271"/>
      <c r="D495" s="365"/>
      <c r="E495" s="264">
        <v>100</v>
      </c>
      <c r="F495" s="264"/>
      <c r="G495" s="271"/>
      <c r="H495" s="271"/>
      <c r="I495" s="268"/>
      <c r="J495" s="271"/>
      <c r="K495" s="271"/>
      <c r="L495" s="271"/>
      <c r="M495" s="271"/>
      <c r="N495" s="271"/>
      <c r="O495" s="271"/>
      <c r="P495" s="265">
        <v>23.8</v>
      </c>
      <c r="Q495" s="264">
        <v>100</v>
      </c>
      <c r="R495" s="264" t="s">
        <v>20</v>
      </c>
      <c r="S495" s="264">
        <v>2006</v>
      </c>
      <c r="T495" s="266" t="s">
        <v>163</v>
      </c>
      <c r="U495" s="267">
        <v>42653</v>
      </c>
      <c r="V495" s="269"/>
      <c r="W495" s="366">
        <f>COUNT(RawMaterials[[#This Row],[Lab Quantity 1]:[Lab Quantity 4]])</f>
        <v>0</v>
      </c>
      <c r="X4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5" s="367" t="e">
        <f>RawMaterials[[#This Row],[Lab Price 1]]/RawMaterials[[#This Row],[Lab Q Model Units 1]]</f>
        <v>#N/A</v>
      </c>
      <c r="AC495" s="367" t="e">
        <f>RawMaterials[[#This Row],[Lab Price 2]]/RawMaterials[[#This Row],[Lab Q Model Units 2]]</f>
        <v>#N/A</v>
      </c>
      <c r="AD495" s="367" t="e">
        <f>RawMaterials[[#This Row],[Lab Price 3]]/RawMaterials[[#This Row],[Lab Q Model Units 3]]</f>
        <v>#N/A</v>
      </c>
      <c r="AE495" s="367" t="e">
        <f>RawMaterials[[#This Row],[Lab Price 4]]/RawMaterials[[#This Row],[Lab Q Model Units 4]]</f>
        <v>#N/A</v>
      </c>
      <c r="AF495" s="367" t="str">
        <f ca="1">IF(RawMaterials[[#This Row],[Lab Quote Count]]&gt;1,SLOPE(LOG(INDIRECT("RawMaterials[@[Lab Unit P 1]:[Lab Unit P "&amp;RawMaterials[[#This Row],[Lab Quote Count]]&amp;"]]")),LOG(INDIRECT("RawMaterials[@[Lab Q Model Units 1]:[Lab Q Model Units "&amp;RawMaterials[[#This Row],[Lab Quote Count]]&amp;"]]"))),"")</f>
        <v/>
      </c>
      <c r="AG495" s="367" t="str">
        <f ca="1">IF(RawMaterials[[#This Row],[Lab Quote Count]]&gt;1,INTERCEPT(LOG(INDIRECT("RawMaterials[@[Lab Unit P 1]:[Lab Unit P "&amp;RawMaterials[[#This Row],[Lab Quote Count]]&amp;"]]")),LOG(INDIRECT("RawMaterials[@[Lab Q Model Units 1]:[Lab Q Model Units "&amp;RawMaterials[[#This Row],[Lab Quote Count]]&amp;"]]"))),"")</f>
        <v/>
      </c>
      <c r="AH495" s="368" t="str">
        <f>IF(RawMaterials[[#This Row],[Material Type]]="Metal Precursor","D13",IF(RawMaterials[[#This Row],[Material Type]]="Ligand","D13","D12"))</f>
        <v>D12</v>
      </c>
      <c r="AI495" s="369" t="str">
        <f ca="1">IF(RawMaterials[[#This Row],[Lab Quote Count]]&gt;1,10^RawMaterials[[#This Row],[Lab Log-Log Intercept]]*INDIRECT(RawMaterials[[#This Row],[Basis Cell]])^RawMaterials[[#This Row],[Lab Log-Log Slope]],"&gt;&gt;&gt; Enter 2 or more lab quotes &lt;&lt;&lt;")</f>
        <v>&gt;&gt;&gt; Enter 2 or more lab quotes &lt;&lt;&lt;</v>
      </c>
      <c r="AJ4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0.23800000000000002</v>
      </c>
      <c r="AL495" s="372">
        <f>IF(ISTEXT(RawMaterials[[#This Row],[Unit price in quote year]]),"Check calcs",RawMaterials[[#This Row],[Unit price in quote year]]/VLOOKUP(RawMaterials[[#This Row],[Quote Year]],ChemPPI[],14,FALSE)*VLOOKUP(BasisYear,ChemPPI[],14,FALSE))</f>
        <v>0.32301727642276429</v>
      </c>
      <c r="AM495" s="373" t="str">
        <f t="shared" si="7"/>
        <v>$/lb (2016)</v>
      </c>
    </row>
    <row r="496" spans="1:39">
      <c r="A496" s="263" t="s">
        <v>1591</v>
      </c>
      <c r="B496" s="264"/>
      <c r="C496" s="271"/>
      <c r="D496" s="365"/>
      <c r="E496" s="264">
        <v>100</v>
      </c>
      <c r="F496" s="264"/>
      <c r="G496" s="271"/>
      <c r="H496" s="271"/>
      <c r="I496" s="268"/>
      <c r="J496" s="271"/>
      <c r="K496" s="271"/>
      <c r="L496" s="271"/>
      <c r="M496" s="271"/>
      <c r="N496" s="271"/>
      <c r="O496" s="271"/>
      <c r="P496" s="265">
        <v>23.35</v>
      </c>
      <c r="Q496" s="264">
        <v>100</v>
      </c>
      <c r="R496" s="264" t="s">
        <v>20</v>
      </c>
      <c r="S496" s="264">
        <v>2006</v>
      </c>
      <c r="T496" s="266" t="s">
        <v>163</v>
      </c>
      <c r="U496" s="267">
        <v>42653</v>
      </c>
      <c r="V496" s="269"/>
      <c r="W496" s="366">
        <f>COUNT(RawMaterials[[#This Row],[Lab Quantity 1]:[Lab Quantity 4]])</f>
        <v>0</v>
      </c>
      <c r="X4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6" s="367" t="e">
        <f>RawMaterials[[#This Row],[Lab Price 1]]/RawMaterials[[#This Row],[Lab Q Model Units 1]]</f>
        <v>#N/A</v>
      </c>
      <c r="AC496" s="367" t="e">
        <f>RawMaterials[[#This Row],[Lab Price 2]]/RawMaterials[[#This Row],[Lab Q Model Units 2]]</f>
        <v>#N/A</v>
      </c>
      <c r="AD496" s="367" t="e">
        <f>RawMaterials[[#This Row],[Lab Price 3]]/RawMaterials[[#This Row],[Lab Q Model Units 3]]</f>
        <v>#N/A</v>
      </c>
      <c r="AE496" s="367" t="e">
        <f>RawMaterials[[#This Row],[Lab Price 4]]/RawMaterials[[#This Row],[Lab Q Model Units 4]]</f>
        <v>#N/A</v>
      </c>
      <c r="AF496" s="367" t="str">
        <f ca="1">IF(RawMaterials[[#This Row],[Lab Quote Count]]&gt;1,SLOPE(LOG(INDIRECT("RawMaterials[@[Lab Unit P 1]:[Lab Unit P "&amp;RawMaterials[[#This Row],[Lab Quote Count]]&amp;"]]")),LOG(INDIRECT("RawMaterials[@[Lab Q Model Units 1]:[Lab Q Model Units "&amp;RawMaterials[[#This Row],[Lab Quote Count]]&amp;"]]"))),"")</f>
        <v/>
      </c>
      <c r="AG496" s="367" t="str">
        <f ca="1">IF(RawMaterials[[#This Row],[Lab Quote Count]]&gt;1,INTERCEPT(LOG(INDIRECT("RawMaterials[@[Lab Unit P 1]:[Lab Unit P "&amp;RawMaterials[[#This Row],[Lab Quote Count]]&amp;"]]")),LOG(INDIRECT("RawMaterials[@[Lab Q Model Units 1]:[Lab Q Model Units "&amp;RawMaterials[[#This Row],[Lab Quote Count]]&amp;"]]"))),"")</f>
        <v/>
      </c>
      <c r="AH496" s="368" t="str">
        <f>IF(RawMaterials[[#This Row],[Material Type]]="Metal Precursor","D13",IF(RawMaterials[[#This Row],[Material Type]]="Ligand","D13","D12"))</f>
        <v>D12</v>
      </c>
      <c r="AI496" s="369" t="str">
        <f ca="1">IF(RawMaterials[[#This Row],[Lab Quote Count]]&gt;1,10^RawMaterials[[#This Row],[Lab Log-Log Intercept]]*INDIRECT(RawMaterials[[#This Row],[Basis Cell]])^RawMaterials[[#This Row],[Lab Log-Log Slope]],"&gt;&gt;&gt; Enter 2 or more lab quotes &lt;&lt;&lt;")</f>
        <v>&gt;&gt;&gt; Enter 2 or more lab quotes &lt;&lt;&lt;</v>
      </c>
      <c r="AJ4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0.23350000000000001</v>
      </c>
      <c r="AL496" s="372">
        <f>IF(ISTEXT(RawMaterials[[#This Row],[Unit price in quote year]]),"Check calcs",RawMaterials[[#This Row],[Unit price in quote year]]/VLOOKUP(RawMaterials[[#This Row],[Quote Year]],ChemPPI[],14,FALSE)*VLOOKUP(BasisYear,ChemPPI[],14,FALSE))</f>
        <v>0.31690980691056914</v>
      </c>
      <c r="AM496" s="373" t="str">
        <f t="shared" si="7"/>
        <v>$/lb (2016)</v>
      </c>
    </row>
    <row r="497" spans="1:39">
      <c r="A497" s="263" t="s">
        <v>1592</v>
      </c>
      <c r="B497" s="264"/>
      <c r="C497" s="271"/>
      <c r="D497" s="365"/>
      <c r="E497" s="264">
        <v>100</v>
      </c>
      <c r="F497" s="264"/>
      <c r="G497" s="271"/>
      <c r="H497" s="271"/>
      <c r="I497" s="268"/>
      <c r="J497" s="271"/>
      <c r="K497" s="271"/>
      <c r="L497" s="271"/>
      <c r="M497" s="271"/>
      <c r="N497" s="271"/>
      <c r="O497" s="271"/>
      <c r="P497" s="265">
        <v>22.5</v>
      </c>
      <c r="Q497" s="264">
        <v>100</v>
      </c>
      <c r="R497" s="264" t="s">
        <v>20</v>
      </c>
      <c r="S497" s="264">
        <v>2006</v>
      </c>
      <c r="T497" s="266" t="s">
        <v>163</v>
      </c>
      <c r="U497" s="267">
        <v>42653</v>
      </c>
      <c r="V497" s="269"/>
      <c r="W497" s="366">
        <f>COUNT(RawMaterials[[#This Row],[Lab Quantity 1]:[Lab Quantity 4]])</f>
        <v>0</v>
      </c>
      <c r="X4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7" s="367" t="e">
        <f>RawMaterials[[#This Row],[Lab Price 1]]/RawMaterials[[#This Row],[Lab Q Model Units 1]]</f>
        <v>#N/A</v>
      </c>
      <c r="AC497" s="367" t="e">
        <f>RawMaterials[[#This Row],[Lab Price 2]]/RawMaterials[[#This Row],[Lab Q Model Units 2]]</f>
        <v>#N/A</v>
      </c>
      <c r="AD497" s="367" t="e">
        <f>RawMaterials[[#This Row],[Lab Price 3]]/RawMaterials[[#This Row],[Lab Q Model Units 3]]</f>
        <v>#N/A</v>
      </c>
      <c r="AE497" s="367" t="e">
        <f>RawMaterials[[#This Row],[Lab Price 4]]/RawMaterials[[#This Row],[Lab Q Model Units 4]]</f>
        <v>#N/A</v>
      </c>
      <c r="AF497" s="367" t="str">
        <f ca="1">IF(RawMaterials[[#This Row],[Lab Quote Count]]&gt;1,SLOPE(LOG(INDIRECT("RawMaterials[@[Lab Unit P 1]:[Lab Unit P "&amp;RawMaterials[[#This Row],[Lab Quote Count]]&amp;"]]")),LOG(INDIRECT("RawMaterials[@[Lab Q Model Units 1]:[Lab Q Model Units "&amp;RawMaterials[[#This Row],[Lab Quote Count]]&amp;"]]"))),"")</f>
        <v/>
      </c>
      <c r="AG497" s="367" t="str">
        <f ca="1">IF(RawMaterials[[#This Row],[Lab Quote Count]]&gt;1,INTERCEPT(LOG(INDIRECT("RawMaterials[@[Lab Unit P 1]:[Lab Unit P "&amp;RawMaterials[[#This Row],[Lab Quote Count]]&amp;"]]")),LOG(INDIRECT("RawMaterials[@[Lab Q Model Units 1]:[Lab Q Model Units "&amp;RawMaterials[[#This Row],[Lab Quote Count]]&amp;"]]"))),"")</f>
        <v/>
      </c>
      <c r="AH497" s="368" t="str">
        <f>IF(RawMaterials[[#This Row],[Material Type]]="Metal Precursor","D13",IF(RawMaterials[[#This Row],[Material Type]]="Ligand","D13","D12"))</f>
        <v>D12</v>
      </c>
      <c r="AI497" s="369" t="str">
        <f ca="1">IF(RawMaterials[[#This Row],[Lab Quote Count]]&gt;1,10^RawMaterials[[#This Row],[Lab Log-Log Intercept]]*INDIRECT(RawMaterials[[#This Row],[Basis Cell]])^RawMaterials[[#This Row],[Lab Log-Log Slope]],"&gt;&gt;&gt; Enter 2 or more lab quotes &lt;&lt;&lt;")</f>
        <v>&gt;&gt;&gt; Enter 2 or more lab quotes &lt;&lt;&lt;</v>
      </c>
      <c r="AJ4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0.22500000000000001</v>
      </c>
      <c r="AL497" s="372">
        <f>IF(ISTEXT(RawMaterials[[#This Row],[Unit price in quote year]]),"Check calcs",RawMaterials[[#This Row],[Unit price in quote year]]/VLOOKUP(RawMaterials[[#This Row],[Quote Year]],ChemPPI[],14,FALSE)*VLOOKUP(BasisYear,ChemPPI[],14,FALSE))</f>
        <v>0.30537347560975614</v>
      </c>
      <c r="AM497" s="373" t="str">
        <f t="shared" si="7"/>
        <v>$/lb (2016)</v>
      </c>
    </row>
    <row r="498" spans="1:39">
      <c r="A498" s="263" t="s">
        <v>1593</v>
      </c>
      <c r="B498" s="264"/>
      <c r="C498" s="271"/>
      <c r="D498" s="365"/>
      <c r="E498" s="264">
        <v>100</v>
      </c>
      <c r="F498" s="264"/>
      <c r="G498" s="271"/>
      <c r="H498" s="271"/>
      <c r="I498" s="268"/>
      <c r="J498" s="271"/>
      <c r="K498" s="271"/>
      <c r="L498" s="271"/>
      <c r="M498" s="271"/>
      <c r="N498" s="271"/>
      <c r="O498" s="271"/>
      <c r="P498" s="265">
        <v>34.799999999999997</v>
      </c>
      <c r="Q498" s="264">
        <v>100</v>
      </c>
      <c r="R498" s="264" t="s">
        <v>20</v>
      </c>
      <c r="S498" s="264">
        <v>2006</v>
      </c>
      <c r="T498" s="266" t="s">
        <v>163</v>
      </c>
      <c r="U498" s="267">
        <v>42653</v>
      </c>
      <c r="V498" s="269"/>
      <c r="W498" s="366">
        <f>COUNT(RawMaterials[[#This Row],[Lab Quantity 1]:[Lab Quantity 4]])</f>
        <v>0</v>
      </c>
      <c r="X4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8" s="367" t="e">
        <f>RawMaterials[[#This Row],[Lab Price 1]]/RawMaterials[[#This Row],[Lab Q Model Units 1]]</f>
        <v>#N/A</v>
      </c>
      <c r="AC498" s="367" t="e">
        <f>RawMaterials[[#This Row],[Lab Price 2]]/RawMaterials[[#This Row],[Lab Q Model Units 2]]</f>
        <v>#N/A</v>
      </c>
      <c r="AD498" s="367" t="e">
        <f>RawMaterials[[#This Row],[Lab Price 3]]/RawMaterials[[#This Row],[Lab Q Model Units 3]]</f>
        <v>#N/A</v>
      </c>
      <c r="AE498" s="367" t="e">
        <f>RawMaterials[[#This Row],[Lab Price 4]]/RawMaterials[[#This Row],[Lab Q Model Units 4]]</f>
        <v>#N/A</v>
      </c>
      <c r="AF498" s="367" t="str">
        <f ca="1">IF(RawMaterials[[#This Row],[Lab Quote Count]]&gt;1,SLOPE(LOG(INDIRECT("RawMaterials[@[Lab Unit P 1]:[Lab Unit P "&amp;RawMaterials[[#This Row],[Lab Quote Count]]&amp;"]]")),LOG(INDIRECT("RawMaterials[@[Lab Q Model Units 1]:[Lab Q Model Units "&amp;RawMaterials[[#This Row],[Lab Quote Count]]&amp;"]]"))),"")</f>
        <v/>
      </c>
      <c r="AG498" s="367" t="str">
        <f ca="1">IF(RawMaterials[[#This Row],[Lab Quote Count]]&gt;1,INTERCEPT(LOG(INDIRECT("RawMaterials[@[Lab Unit P 1]:[Lab Unit P "&amp;RawMaterials[[#This Row],[Lab Quote Count]]&amp;"]]")),LOG(INDIRECT("RawMaterials[@[Lab Q Model Units 1]:[Lab Q Model Units "&amp;RawMaterials[[#This Row],[Lab Quote Count]]&amp;"]]"))),"")</f>
        <v/>
      </c>
      <c r="AH498" s="368" t="str">
        <f>IF(RawMaterials[[#This Row],[Material Type]]="Metal Precursor","D13",IF(RawMaterials[[#This Row],[Material Type]]="Ligand","D13","D12"))</f>
        <v>D12</v>
      </c>
      <c r="AI498" s="369" t="str">
        <f ca="1">IF(RawMaterials[[#This Row],[Lab Quote Count]]&gt;1,10^RawMaterials[[#This Row],[Lab Log-Log Intercept]]*INDIRECT(RawMaterials[[#This Row],[Basis Cell]])^RawMaterials[[#This Row],[Lab Log-Log Slope]],"&gt;&gt;&gt; Enter 2 or more lab quotes &lt;&lt;&lt;")</f>
        <v>&gt;&gt;&gt; Enter 2 or more lab quotes &lt;&lt;&lt;</v>
      </c>
      <c r="AJ4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0.34799999999999998</v>
      </c>
      <c r="AL498" s="372">
        <f>IF(ISTEXT(RawMaterials[[#This Row],[Unit price in quote year]]),"Check calcs",RawMaterials[[#This Row],[Unit price in quote year]]/VLOOKUP(RawMaterials[[#This Row],[Quote Year]],ChemPPI[],14,FALSE)*VLOOKUP(BasisYear,ChemPPI[],14,FALSE))</f>
        <v>0.47231097560975616</v>
      </c>
      <c r="AM498" s="373" t="str">
        <f t="shared" si="7"/>
        <v>$/lb (2016)</v>
      </c>
    </row>
    <row r="499" spans="1:39">
      <c r="A499" s="263" t="s">
        <v>1594</v>
      </c>
      <c r="B499" s="264"/>
      <c r="C499" s="271"/>
      <c r="D499" s="365"/>
      <c r="E499" s="264">
        <v>100</v>
      </c>
      <c r="F499" s="264"/>
      <c r="G499" s="271"/>
      <c r="H499" s="271"/>
      <c r="I499" s="268"/>
      <c r="J499" s="271"/>
      <c r="K499" s="271"/>
      <c r="L499" s="271"/>
      <c r="M499" s="271"/>
      <c r="N499" s="271"/>
      <c r="O499" s="271"/>
      <c r="P499" s="265">
        <v>22.8</v>
      </c>
      <c r="Q499" s="264">
        <v>100</v>
      </c>
      <c r="R499" s="264" t="s">
        <v>20</v>
      </c>
      <c r="S499" s="264">
        <v>2006</v>
      </c>
      <c r="T499" s="266" t="s">
        <v>163</v>
      </c>
      <c r="U499" s="267">
        <v>42653</v>
      </c>
      <c r="V499" s="269"/>
      <c r="W499" s="366">
        <f>COUNT(RawMaterials[[#This Row],[Lab Quantity 1]:[Lab Quantity 4]])</f>
        <v>0</v>
      </c>
      <c r="X4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4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4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4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499" s="367" t="e">
        <f>RawMaterials[[#This Row],[Lab Price 1]]/RawMaterials[[#This Row],[Lab Q Model Units 1]]</f>
        <v>#N/A</v>
      </c>
      <c r="AC499" s="367" t="e">
        <f>RawMaterials[[#This Row],[Lab Price 2]]/RawMaterials[[#This Row],[Lab Q Model Units 2]]</f>
        <v>#N/A</v>
      </c>
      <c r="AD499" s="367" t="e">
        <f>RawMaterials[[#This Row],[Lab Price 3]]/RawMaterials[[#This Row],[Lab Q Model Units 3]]</f>
        <v>#N/A</v>
      </c>
      <c r="AE499" s="367" t="e">
        <f>RawMaterials[[#This Row],[Lab Price 4]]/RawMaterials[[#This Row],[Lab Q Model Units 4]]</f>
        <v>#N/A</v>
      </c>
      <c r="AF499" s="367" t="str">
        <f ca="1">IF(RawMaterials[[#This Row],[Lab Quote Count]]&gt;1,SLOPE(LOG(INDIRECT("RawMaterials[@[Lab Unit P 1]:[Lab Unit P "&amp;RawMaterials[[#This Row],[Lab Quote Count]]&amp;"]]")),LOG(INDIRECT("RawMaterials[@[Lab Q Model Units 1]:[Lab Q Model Units "&amp;RawMaterials[[#This Row],[Lab Quote Count]]&amp;"]]"))),"")</f>
        <v/>
      </c>
      <c r="AG499" s="367" t="str">
        <f ca="1">IF(RawMaterials[[#This Row],[Lab Quote Count]]&gt;1,INTERCEPT(LOG(INDIRECT("RawMaterials[@[Lab Unit P 1]:[Lab Unit P "&amp;RawMaterials[[#This Row],[Lab Quote Count]]&amp;"]]")),LOG(INDIRECT("RawMaterials[@[Lab Q Model Units 1]:[Lab Q Model Units "&amp;RawMaterials[[#This Row],[Lab Quote Count]]&amp;"]]"))),"")</f>
        <v/>
      </c>
      <c r="AH499" s="368" t="str">
        <f>IF(RawMaterials[[#This Row],[Material Type]]="Metal Precursor","D13",IF(RawMaterials[[#This Row],[Material Type]]="Ligand","D13","D12"))</f>
        <v>D12</v>
      </c>
      <c r="AI499" s="369" t="str">
        <f ca="1">IF(RawMaterials[[#This Row],[Lab Quote Count]]&gt;1,10^RawMaterials[[#This Row],[Lab Log-Log Intercept]]*INDIRECT(RawMaterials[[#This Row],[Basis Cell]])^RawMaterials[[#This Row],[Lab Log-Log Slope]],"&gt;&gt;&gt; Enter 2 or more lab quotes &lt;&lt;&lt;")</f>
        <v>&gt;&gt;&gt; Enter 2 or more lab quotes &lt;&lt;&lt;</v>
      </c>
      <c r="AJ4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4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0.22800000000000001</v>
      </c>
      <c r="AL499" s="372">
        <f>IF(ISTEXT(RawMaterials[[#This Row],[Unit price in quote year]]),"Check calcs",RawMaterials[[#This Row],[Unit price in quote year]]/VLOOKUP(RawMaterials[[#This Row],[Quote Year]],ChemPPI[],14,FALSE)*VLOOKUP(BasisYear,ChemPPI[],14,FALSE))</f>
        <v>0.30944512195121959</v>
      </c>
      <c r="AM499" s="373" t="str">
        <f t="shared" si="7"/>
        <v>$/lb (2016)</v>
      </c>
    </row>
    <row r="500" spans="1:39">
      <c r="A500" s="263" t="s">
        <v>1595</v>
      </c>
      <c r="B500" s="264"/>
      <c r="C500" s="271"/>
      <c r="D500" s="365"/>
      <c r="E500" s="264">
        <v>100</v>
      </c>
      <c r="F500" s="264"/>
      <c r="G500" s="271"/>
      <c r="H500" s="271"/>
      <c r="I500" s="268"/>
      <c r="J500" s="271"/>
      <c r="K500" s="271"/>
      <c r="L500" s="271"/>
      <c r="M500" s="271"/>
      <c r="N500" s="271"/>
      <c r="O500" s="271"/>
      <c r="P500" s="265">
        <v>18</v>
      </c>
      <c r="Q500" s="264">
        <v>100</v>
      </c>
      <c r="R500" s="264" t="s">
        <v>20</v>
      </c>
      <c r="S500" s="264">
        <v>2006</v>
      </c>
      <c r="T500" s="266" t="s">
        <v>163</v>
      </c>
      <c r="U500" s="267">
        <v>42653</v>
      </c>
      <c r="V500" s="269"/>
      <c r="W500" s="366">
        <f>COUNT(RawMaterials[[#This Row],[Lab Quantity 1]:[Lab Quantity 4]])</f>
        <v>0</v>
      </c>
      <c r="X5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0" s="367" t="e">
        <f>RawMaterials[[#This Row],[Lab Price 1]]/RawMaterials[[#This Row],[Lab Q Model Units 1]]</f>
        <v>#N/A</v>
      </c>
      <c r="AC500" s="367" t="e">
        <f>RawMaterials[[#This Row],[Lab Price 2]]/RawMaterials[[#This Row],[Lab Q Model Units 2]]</f>
        <v>#N/A</v>
      </c>
      <c r="AD500" s="367" t="e">
        <f>RawMaterials[[#This Row],[Lab Price 3]]/RawMaterials[[#This Row],[Lab Q Model Units 3]]</f>
        <v>#N/A</v>
      </c>
      <c r="AE500" s="367" t="e">
        <f>RawMaterials[[#This Row],[Lab Price 4]]/RawMaterials[[#This Row],[Lab Q Model Units 4]]</f>
        <v>#N/A</v>
      </c>
      <c r="AF500" s="367" t="str">
        <f ca="1">IF(RawMaterials[[#This Row],[Lab Quote Count]]&gt;1,SLOPE(LOG(INDIRECT("RawMaterials[@[Lab Unit P 1]:[Lab Unit P "&amp;RawMaterials[[#This Row],[Lab Quote Count]]&amp;"]]")),LOG(INDIRECT("RawMaterials[@[Lab Q Model Units 1]:[Lab Q Model Units "&amp;RawMaterials[[#This Row],[Lab Quote Count]]&amp;"]]"))),"")</f>
        <v/>
      </c>
      <c r="AG500" s="367" t="str">
        <f ca="1">IF(RawMaterials[[#This Row],[Lab Quote Count]]&gt;1,INTERCEPT(LOG(INDIRECT("RawMaterials[@[Lab Unit P 1]:[Lab Unit P "&amp;RawMaterials[[#This Row],[Lab Quote Count]]&amp;"]]")),LOG(INDIRECT("RawMaterials[@[Lab Q Model Units 1]:[Lab Q Model Units "&amp;RawMaterials[[#This Row],[Lab Quote Count]]&amp;"]]"))),"")</f>
        <v/>
      </c>
      <c r="AH500" s="368" t="str">
        <f>IF(RawMaterials[[#This Row],[Material Type]]="Metal Precursor","D13",IF(RawMaterials[[#This Row],[Material Type]]="Ligand","D13","D12"))</f>
        <v>D12</v>
      </c>
      <c r="AI500" s="369" t="str">
        <f ca="1">IF(RawMaterials[[#This Row],[Lab Quote Count]]&gt;1,10^RawMaterials[[#This Row],[Lab Log-Log Intercept]]*INDIRECT(RawMaterials[[#This Row],[Basis Cell]])^RawMaterials[[#This Row],[Lab Log-Log Slope]],"&gt;&gt;&gt; Enter 2 or more lab quotes &lt;&lt;&lt;")</f>
        <v>&gt;&gt;&gt; Enter 2 or more lab quotes &lt;&lt;&lt;</v>
      </c>
      <c r="AJ5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v>
      </c>
      <c r="AL500" s="372">
        <f>IF(ISTEXT(RawMaterials[[#This Row],[Unit price in quote year]]),"Check calcs",RawMaterials[[#This Row],[Unit price in quote year]]/VLOOKUP(RawMaterials[[#This Row],[Quote Year]],ChemPPI[],14,FALSE)*VLOOKUP(BasisYear,ChemPPI[],14,FALSE))</f>
        <v>0.2442987804878049</v>
      </c>
      <c r="AM500" s="373" t="str">
        <f t="shared" si="7"/>
        <v>$/lb (2016)</v>
      </c>
    </row>
    <row r="501" spans="1:39">
      <c r="A501" s="263" t="s">
        <v>1596</v>
      </c>
      <c r="B501" s="264"/>
      <c r="C501" s="271"/>
      <c r="D501" s="365"/>
      <c r="E501" s="264">
        <v>100</v>
      </c>
      <c r="F501" s="264"/>
      <c r="G501" s="271"/>
      <c r="H501" s="271"/>
      <c r="I501" s="268"/>
      <c r="J501" s="271"/>
      <c r="K501" s="271"/>
      <c r="L501" s="271"/>
      <c r="M501" s="271"/>
      <c r="N501" s="271"/>
      <c r="O501" s="271"/>
      <c r="P501" s="265">
        <v>19.25</v>
      </c>
      <c r="Q501" s="264">
        <v>100</v>
      </c>
      <c r="R501" s="264" t="s">
        <v>20</v>
      </c>
      <c r="S501" s="264">
        <v>2006</v>
      </c>
      <c r="T501" s="266" t="s">
        <v>163</v>
      </c>
      <c r="U501" s="267">
        <v>42653</v>
      </c>
      <c r="V501" s="269"/>
      <c r="W501" s="366">
        <f>COUNT(RawMaterials[[#This Row],[Lab Quantity 1]:[Lab Quantity 4]])</f>
        <v>0</v>
      </c>
      <c r="X5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1" s="367" t="e">
        <f>RawMaterials[[#This Row],[Lab Price 1]]/RawMaterials[[#This Row],[Lab Q Model Units 1]]</f>
        <v>#N/A</v>
      </c>
      <c r="AC501" s="367" t="e">
        <f>RawMaterials[[#This Row],[Lab Price 2]]/RawMaterials[[#This Row],[Lab Q Model Units 2]]</f>
        <v>#N/A</v>
      </c>
      <c r="AD501" s="367" t="e">
        <f>RawMaterials[[#This Row],[Lab Price 3]]/RawMaterials[[#This Row],[Lab Q Model Units 3]]</f>
        <v>#N/A</v>
      </c>
      <c r="AE501" s="367" t="e">
        <f>RawMaterials[[#This Row],[Lab Price 4]]/RawMaterials[[#This Row],[Lab Q Model Units 4]]</f>
        <v>#N/A</v>
      </c>
      <c r="AF501" s="367" t="str">
        <f ca="1">IF(RawMaterials[[#This Row],[Lab Quote Count]]&gt;1,SLOPE(LOG(INDIRECT("RawMaterials[@[Lab Unit P 1]:[Lab Unit P "&amp;RawMaterials[[#This Row],[Lab Quote Count]]&amp;"]]")),LOG(INDIRECT("RawMaterials[@[Lab Q Model Units 1]:[Lab Q Model Units "&amp;RawMaterials[[#This Row],[Lab Quote Count]]&amp;"]]"))),"")</f>
        <v/>
      </c>
      <c r="AG501" s="367" t="str">
        <f ca="1">IF(RawMaterials[[#This Row],[Lab Quote Count]]&gt;1,INTERCEPT(LOG(INDIRECT("RawMaterials[@[Lab Unit P 1]:[Lab Unit P "&amp;RawMaterials[[#This Row],[Lab Quote Count]]&amp;"]]")),LOG(INDIRECT("RawMaterials[@[Lab Q Model Units 1]:[Lab Q Model Units "&amp;RawMaterials[[#This Row],[Lab Quote Count]]&amp;"]]"))),"")</f>
        <v/>
      </c>
      <c r="AH501" s="368" t="str">
        <f>IF(RawMaterials[[#This Row],[Material Type]]="Metal Precursor","D13",IF(RawMaterials[[#This Row],[Material Type]]="Ligand","D13","D12"))</f>
        <v>D12</v>
      </c>
      <c r="AI501" s="369" t="str">
        <f ca="1">IF(RawMaterials[[#This Row],[Lab Quote Count]]&gt;1,10^RawMaterials[[#This Row],[Lab Log-Log Intercept]]*INDIRECT(RawMaterials[[#This Row],[Basis Cell]])^RawMaterials[[#This Row],[Lab Log-Log Slope]],"&gt;&gt;&gt; Enter 2 or more lab quotes &lt;&lt;&lt;")</f>
        <v>&gt;&gt;&gt; Enter 2 or more lab quotes &lt;&lt;&lt;</v>
      </c>
      <c r="AJ5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0.1925</v>
      </c>
      <c r="AL501" s="372">
        <f>IF(ISTEXT(RawMaterials[[#This Row],[Unit price in quote year]]),"Check calcs",RawMaterials[[#This Row],[Unit price in quote year]]/VLOOKUP(RawMaterials[[#This Row],[Quote Year]],ChemPPI[],14,FALSE)*VLOOKUP(BasisYear,ChemPPI[],14,FALSE))</f>
        <v>0.2612639735772358</v>
      </c>
      <c r="AM501" s="373" t="str">
        <f t="shared" si="7"/>
        <v>$/lb (2016)</v>
      </c>
    </row>
    <row r="502" spans="1:39">
      <c r="A502" s="263" t="s">
        <v>1597</v>
      </c>
      <c r="B502" s="264"/>
      <c r="C502" s="271"/>
      <c r="D502" s="365"/>
      <c r="E502" s="264">
        <v>100</v>
      </c>
      <c r="F502" s="264"/>
      <c r="G502" s="271"/>
      <c r="H502" s="271"/>
      <c r="I502" s="268"/>
      <c r="J502" s="271"/>
      <c r="K502" s="271"/>
      <c r="L502" s="271"/>
      <c r="M502" s="271"/>
      <c r="N502" s="271"/>
      <c r="O502" s="271"/>
      <c r="P502" s="265">
        <v>32.5</v>
      </c>
      <c r="Q502" s="264">
        <v>100</v>
      </c>
      <c r="R502" s="264" t="s">
        <v>20</v>
      </c>
      <c r="S502" s="264">
        <v>2006</v>
      </c>
      <c r="T502" s="266" t="s">
        <v>163</v>
      </c>
      <c r="U502" s="267">
        <v>42653</v>
      </c>
      <c r="V502" s="269"/>
      <c r="W502" s="366">
        <f>COUNT(RawMaterials[[#This Row],[Lab Quantity 1]:[Lab Quantity 4]])</f>
        <v>0</v>
      </c>
      <c r="X5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2" s="367" t="e">
        <f>RawMaterials[[#This Row],[Lab Price 1]]/RawMaterials[[#This Row],[Lab Q Model Units 1]]</f>
        <v>#N/A</v>
      </c>
      <c r="AC502" s="367" t="e">
        <f>RawMaterials[[#This Row],[Lab Price 2]]/RawMaterials[[#This Row],[Lab Q Model Units 2]]</f>
        <v>#N/A</v>
      </c>
      <c r="AD502" s="367" t="e">
        <f>RawMaterials[[#This Row],[Lab Price 3]]/RawMaterials[[#This Row],[Lab Q Model Units 3]]</f>
        <v>#N/A</v>
      </c>
      <c r="AE502" s="367" t="e">
        <f>RawMaterials[[#This Row],[Lab Price 4]]/RawMaterials[[#This Row],[Lab Q Model Units 4]]</f>
        <v>#N/A</v>
      </c>
      <c r="AF502" s="367" t="str">
        <f ca="1">IF(RawMaterials[[#This Row],[Lab Quote Count]]&gt;1,SLOPE(LOG(INDIRECT("RawMaterials[@[Lab Unit P 1]:[Lab Unit P "&amp;RawMaterials[[#This Row],[Lab Quote Count]]&amp;"]]")),LOG(INDIRECT("RawMaterials[@[Lab Q Model Units 1]:[Lab Q Model Units "&amp;RawMaterials[[#This Row],[Lab Quote Count]]&amp;"]]"))),"")</f>
        <v/>
      </c>
      <c r="AG502" s="367" t="str">
        <f ca="1">IF(RawMaterials[[#This Row],[Lab Quote Count]]&gt;1,INTERCEPT(LOG(INDIRECT("RawMaterials[@[Lab Unit P 1]:[Lab Unit P "&amp;RawMaterials[[#This Row],[Lab Quote Count]]&amp;"]]")),LOG(INDIRECT("RawMaterials[@[Lab Q Model Units 1]:[Lab Q Model Units "&amp;RawMaterials[[#This Row],[Lab Quote Count]]&amp;"]]"))),"")</f>
        <v/>
      </c>
      <c r="AH502" s="368" t="str">
        <f>IF(RawMaterials[[#This Row],[Material Type]]="Metal Precursor","D13",IF(RawMaterials[[#This Row],[Material Type]]="Ligand","D13","D12"))</f>
        <v>D12</v>
      </c>
      <c r="AI502" s="369" t="str">
        <f ca="1">IF(RawMaterials[[#This Row],[Lab Quote Count]]&gt;1,10^RawMaterials[[#This Row],[Lab Log-Log Intercept]]*INDIRECT(RawMaterials[[#This Row],[Basis Cell]])^RawMaterials[[#This Row],[Lab Log-Log Slope]],"&gt;&gt;&gt; Enter 2 or more lab quotes &lt;&lt;&lt;")</f>
        <v>&gt;&gt;&gt; Enter 2 or more lab quotes &lt;&lt;&lt;</v>
      </c>
      <c r="AJ5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02" s="372">
        <f>IF(ISTEXT(RawMaterials[[#This Row],[Unit price in quote year]]),"Check calcs",RawMaterials[[#This Row],[Unit price in quote year]]/VLOOKUP(RawMaterials[[#This Row],[Quote Year]],ChemPPI[],14,FALSE)*VLOOKUP(BasisYear,ChemPPI[],14,FALSE))</f>
        <v>0.44109502032520331</v>
      </c>
      <c r="AM502" s="373" t="str">
        <f t="shared" si="7"/>
        <v>$/lb (2016)</v>
      </c>
    </row>
    <row r="503" spans="1:39">
      <c r="A503" s="263" t="s">
        <v>1598</v>
      </c>
      <c r="B503" s="264"/>
      <c r="C503" s="271"/>
      <c r="D503" s="365"/>
      <c r="E503" s="264">
        <v>100</v>
      </c>
      <c r="F503" s="264"/>
      <c r="G503" s="271"/>
      <c r="H503" s="271"/>
      <c r="I503" s="268"/>
      <c r="J503" s="271"/>
      <c r="K503" s="271"/>
      <c r="L503" s="271"/>
      <c r="M503" s="271"/>
      <c r="N503" s="271"/>
      <c r="O503" s="271"/>
      <c r="P503" s="265">
        <v>30</v>
      </c>
      <c r="Q503" s="264">
        <v>100</v>
      </c>
      <c r="R503" s="264" t="s">
        <v>20</v>
      </c>
      <c r="S503" s="264">
        <v>2006</v>
      </c>
      <c r="T503" s="266" t="s">
        <v>163</v>
      </c>
      <c r="U503" s="267">
        <v>42653</v>
      </c>
      <c r="V503" s="269"/>
      <c r="W503" s="366">
        <f>COUNT(RawMaterials[[#This Row],[Lab Quantity 1]:[Lab Quantity 4]])</f>
        <v>0</v>
      </c>
      <c r="X5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3" s="367" t="e">
        <f>RawMaterials[[#This Row],[Lab Price 1]]/RawMaterials[[#This Row],[Lab Q Model Units 1]]</f>
        <v>#N/A</v>
      </c>
      <c r="AC503" s="367" t="e">
        <f>RawMaterials[[#This Row],[Lab Price 2]]/RawMaterials[[#This Row],[Lab Q Model Units 2]]</f>
        <v>#N/A</v>
      </c>
      <c r="AD503" s="367" t="e">
        <f>RawMaterials[[#This Row],[Lab Price 3]]/RawMaterials[[#This Row],[Lab Q Model Units 3]]</f>
        <v>#N/A</v>
      </c>
      <c r="AE503" s="367" t="e">
        <f>RawMaterials[[#This Row],[Lab Price 4]]/RawMaterials[[#This Row],[Lab Q Model Units 4]]</f>
        <v>#N/A</v>
      </c>
      <c r="AF503" s="367" t="str">
        <f ca="1">IF(RawMaterials[[#This Row],[Lab Quote Count]]&gt;1,SLOPE(LOG(INDIRECT("RawMaterials[@[Lab Unit P 1]:[Lab Unit P "&amp;RawMaterials[[#This Row],[Lab Quote Count]]&amp;"]]")),LOG(INDIRECT("RawMaterials[@[Lab Q Model Units 1]:[Lab Q Model Units "&amp;RawMaterials[[#This Row],[Lab Quote Count]]&amp;"]]"))),"")</f>
        <v/>
      </c>
      <c r="AG503" s="367" t="str">
        <f ca="1">IF(RawMaterials[[#This Row],[Lab Quote Count]]&gt;1,INTERCEPT(LOG(INDIRECT("RawMaterials[@[Lab Unit P 1]:[Lab Unit P "&amp;RawMaterials[[#This Row],[Lab Quote Count]]&amp;"]]")),LOG(INDIRECT("RawMaterials[@[Lab Q Model Units 1]:[Lab Q Model Units "&amp;RawMaterials[[#This Row],[Lab Quote Count]]&amp;"]]"))),"")</f>
        <v/>
      </c>
      <c r="AH503" s="368" t="str">
        <f>IF(RawMaterials[[#This Row],[Material Type]]="Metal Precursor","D13",IF(RawMaterials[[#This Row],[Material Type]]="Ligand","D13","D12"))</f>
        <v>D12</v>
      </c>
      <c r="AI503" s="369" t="str">
        <f ca="1">IF(RawMaterials[[#This Row],[Lab Quote Count]]&gt;1,10^RawMaterials[[#This Row],[Lab Log-Log Intercept]]*INDIRECT(RawMaterials[[#This Row],[Basis Cell]])^RawMaterials[[#This Row],[Lab Log-Log Slope]],"&gt;&gt;&gt; Enter 2 or more lab quotes &lt;&lt;&lt;")</f>
        <v>&gt;&gt;&gt; Enter 2 or more lab quotes &lt;&lt;&lt;</v>
      </c>
      <c r="AJ5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03" s="372">
        <f>IF(ISTEXT(RawMaterials[[#This Row],[Unit price in quote year]]),"Check calcs",RawMaterials[[#This Row],[Unit price in quote year]]/VLOOKUP(RawMaterials[[#This Row],[Quote Year]],ChemPPI[],14,FALSE)*VLOOKUP(BasisYear,ChemPPI[],14,FALSE))</f>
        <v>0.40716463414634152</v>
      </c>
      <c r="AM503" s="373" t="str">
        <f t="shared" si="7"/>
        <v>$/lb (2016)</v>
      </c>
    </row>
    <row r="504" spans="1:39">
      <c r="A504" s="263" t="s">
        <v>1599</v>
      </c>
      <c r="B504" s="264"/>
      <c r="C504" s="271"/>
      <c r="D504" s="365"/>
      <c r="E504" s="264">
        <v>100</v>
      </c>
      <c r="F504" s="264"/>
      <c r="G504" s="271"/>
      <c r="H504" s="271"/>
      <c r="I504" s="268"/>
      <c r="J504" s="271"/>
      <c r="K504" s="271"/>
      <c r="L504" s="271"/>
      <c r="M504" s="271"/>
      <c r="N504" s="271"/>
      <c r="O504" s="271"/>
      <c r="P504" s="265">
        <v>24</v>
      </c>
      <c r="Q504" s="264">
        <v>100</v>
      </c>
      <c r="R504" s="264" t="s">
        <v>20</v>
      </c>
      <c r="S504" s="264">
        <v>2006</v>
      </c>
      <c r="T504" s="266" t="s">
        <v>163</v>
      </c>
      <c r="U504" s="267">
        <v>42653</v>
      </c>
      <c r="V504" s="269"/>
      <c r="W504" s="366">
        <f>COUNT(RawMaterials[[#This Row],[Lab Quantity 1]:[Lab Quantity 4]])</f>
        <v>0</v>
      </c>
      <c r="X5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4" s="367" t="e">
        <f>RawMaterials[[#This Row],[Lab Price 1]]/RawMaterials[[#This Row],[Lab Q Model Units 1]]</f>
        <v>#N/A</v>
      </c>
      <c r="AC504" s="367" t="e">
        <f>RawMaterials[[#This Row],[Lab Price 2]]/RawMaterials[[#This Row],[Lab Q Model Units 2]]</f>
        <v>#N/A</v>
      </c>
      <c r="AD504" s="367" t="e">
        <f>RawMaterials[[#This Row],[Lab Price 3]]/RawMaterials[[#This Row],[Lab Q Model Units 3]]</f>
        <v>#N/A</v>
      </c>
      <c r="AE504" s="367" t="e">
        <f>RawMaterials[[#This Row],[Lab Price 4]]/RawMaterials[[#This Row],[Lab Q Model Units 4]]</f>
        <v>#N/A</v>
      </c>
      <c r="AF504" s="367" t="str">
        <f ca="1">IF(RawMaterials[[#This Row],[Lab Quote Count]]&gt;1,SLOPE(LOG(INDIRECT("RawMaterials[@[Lab Unit P 1]:[Lab Unit P "&amp;RawMaterials[[#This Row],[Lab Quote Count]]&amp;"]]")),LOG(INDIRECT("RawMaterials[@[Lab Q Model Units 1]:[Lab Q Model Units "&amp;RawMaterials[[#This Row],[Lab Quote Count]]&amp;"]]"))),"")</f>
        <v/>
      </c>
      <c r="AG504" s="367" t="str">
        <f ca="1">IF(RawMaterials[[#This Row],[Lab Quote Count]]&gt;1,INTERCEPT(LOG(INDIRECT("RawMaterials[@[Lab Unit P 1]:[Lab Unit P "&amp;RawMaterials[[#This Row],[Lab Quote Count]]&amp;"]]")),LOG(INDIRECT("RawMaterials[@[Lab Q Model Units 1]:[Lab Q Model Units "&amp;RawMaterials[[#This Row],[Lab Quote Count]]&amp;"]]"))),"")</f>
        <v/>
      </c>
      <c r="AH504" s="368" t="str">
        <f>IF(RawMaterials[[#This Row],[Material Type]]="Metal Precursor","D13",IF(RawMaterials[[#This Row],[Material Type]]="Ligand","D13","D12"))</f>
        <v>D12</v>
      </c>
      <c r="AI504" s="369" t="str">
        <f ca="1">IF(RawMaterials[[#This Row],[Lab Quote Count]]&gt;1,10^RawMaterials[[#This Row],[Lab Log-Log Intercept]]*INDIRECT(RawMaterials[[#This Row],[Basis Cell]])^RawMaterials[[#This Row],[Lab Log-Log Slope]],"&gt;&gt;&gt; Enter 2 or more lab quotes &lt;&lt;&lt;")</f>
        <v>&gt;&gt;&gt; Enter 2 or more lab quotes &lt;&lt;&lt;</v>
      </c>
      <c r="AJ5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v>
      </c>
      <c r="AL504" s="372">
        <f>IF(ISTEXT(RawMaterials[[#This Row],[Unit price in quote year]]),"Check calcs",RawMaterials[[#This Row],[Unit price in quote year]]/VLOOKUP(RawMaterials[[#This Row],[Quote Year]],ChemPPI[],14,FALSE)*VLOOKUP(BasisYear,ChemPPI[],14,FALSE))</f>
        <v>0.32573170731707318</v>
      </c>
      <c r="AM504" s="373" t="str">
        <f t="shared" si="7"/>
        <v>$/lb (2016)</v>
      </c>
    </row>
    <row r="505" spans="1:39">
      <c r="A505" s="263" t="s">
        <v>1600</v>
      </c>
      <c r="B505" s="264"/>
      <c r="C505" s="271"/>
      <c r="D505" s="365"/>
      <c r="E505" s="264">
        <v>100</v>
      </c>
      <c r="F505" s="264"/>
      <c r="G505" s="271"/>
      <c r="H505" s="271"/>
      <c r="I505" s="268"/>
      <c r="J505" s="271"/>
      <c r="K505" s="271"/>
      <c r="L505" s="271"/>
      <c r="M505" s="271"/>
      <c r="N505" s="271"/>
      <c r="O505" s="271"/>
      <c r="P505" s="265">
        <v>482.5</v>
      </c>
      <c r="Q505" s="264">
        <v>1</v>
      </c>
      <c r="R505" s="264" t="s">
        <v>406</v>
      </c>
      <c r="S505" s="264">
        <v>2006</v>
      </c>
      <c r="T505" s="266" t="s">
        <v>163</v>
      </c>
      <c r="U505" s="267">
        <v>42653</v>
      </c>
      <c r="V505" s="269"/>
      <c r="W505" s="366">
        <f>COUNT(RawMaterials[[#This Row],[Lab Quantity 1]:[Lab Quantity 4]])</f>
        <v>0</v>
      </c>
      <c r="X5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5" s="367" t="e">
        <f>RawMaterials[[#This Row],[Lab Price 1]]/RawMaterials[[#This Row],[Lab Q Model Units 1]]</f>
        <v>#N/A</v>
      </c>
      <c r="AC505" s="367" t="e">
        <f>RawMaterials[[#This Row],[Lab Price 2]]/RawMaterials[[#This Row],[Lab Q Model Units 2]]</f>
        <v>#N/A</v>
      </c>
      <c r="AD505" s="367" t="e">
        <f>RawMaterials[[#This Row],[Lab Price 3]]/RawMaterials[[#This Row],[Lab Q Model Units 3]]</f>
        <v>#N/A</v>
      </c>
      <c r="AE505" s="367" t="e">
        <f>RawMaterials[[#This Row],[Lab Price 4]]/RawMaterials[[#This Row],[Lab Q Model Units 4]]</f>
        <v>#N/A</v>
      </c>
      <c r="AF505" s="367" t="str">
        <f ca="1">IF(RawMaterials[[#This Row],[Lab Quote Count]]&gt;1,SLOPE(LOG(INDIRECT("RawMaterials[@[Lab Unit P 1]:[Lab Unit P "&amp;RawMaterials[[#This Row],[Lab Quote Count]]&amp;"]]")),LOG(INDIRECT("RawMaterials[@[Lab Q Model Units 1]:[Lab Q Model Units "&amp;RawMaterials[[#This Row],[Lab Quote Count]]&amp;"]]"))),"")</f>
        <v/>
      </c>
      <c r="AG505" s="367" t="str">
        <f ca="1">IF(RawMaterials[[#This Row],[Lab Quote Count]]&gt;1,INTERCEPT(LOG(INDIRECT("RawMaterials[@[Lab Unit P 1]:[Lab Unit P "&amp;RawMaterials[[#This Row],[Lab Quote Count]]&amp;"]]")),LOG(INDIRECT("RawMaterials[@[Lab Q Model Units 1]:[Lab Q Model Units "&amp;RawMaterials[[#This Row],[Lab Quote Count]]&amp;"]]"))),"")</f>
        <v/>
      </c>
      <c r="AH505" s="368" t="str">
        <f>IF(RawMaterials[[#This Row],[Material Type]]="Metal Precursor","D13",IF(RawMaterials[[#This Row],[Material Type]]="Ligand","D13","D12"))</f>
        <v>D12</v>
      </c>
      <c r="AI505" s="369" t="str">
        <f ca="1">IF(RawMaterials[[#This Row],[Lab Quote Count]]&gt;1,10^RawMaterials[[#This Row],[Lab Log-Log Intercept]]*INDIRECT(RawMaterials[[#This Row],[Basis Cell]])^RawMaterials[[#This Row],[Lab Log-Log Slope]],"&gt;&gt;&gt; Enter 2 or more lab quotes &lt;&lt;&lt;")</f>
        <v>&gt;&gt;&gt; Enter 2 or more lab quotes &lt;&lt;&lt;</v>
      </c>
      <c r="AJ5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0.24124999999999999</v>
      </c>
      <c r="AL505" s="372">
        <f>IF(ISTEXT(RawMaterials[[#This Row],[Unit price in quote year]]),"Check calcs",RawMaterials[[#This Row],[Unit price in quote year]]/VLOOKUP(RawMaterials[[#This Row],[Quote Year]],ChemPPI[],14,FALSE)*VLOOKUP(BasisYear,ChemPPI[],14,FALSE))</f>
        <v>0.32742822662601628</v>
      </c>
      <c r="AM505" s="373" t="str">
        <f t="shared" si="7"/>
        <v>$/lb (2016)</v>
      </c>
    </row>
    <row r="506" spans="1:39">
      <c r="A506" s="263" t="s">
        <v>1601</v>
      </c>
      <c r="B506" s="264"/>
      <c r="C506" s="271"/>
      <c r="D506" s="365"/>
      <c r="E506" s="264">
        <v>100</v>
      </c>
      <c r="F506" s="264"/>
      <c r="G506" s="271"/>
      <c r="H506" s="271"/>
      <c r="I506" s="268"/>
      <c r="J506" s="271"/>
      <c r="K506" s="271"/>
      <c r="L506" s="271"/>
      <c r="M506" s="271"/>
      <c r="N506" s="271"/>
      <c r="O506" s="271"/>
      <c r="P506" s="265">
        <v>680</v>
      </c>
      <c r="Q506" s="264">
        <v>1</v>
      </c>
      <c r="R506" s="264" t="s">
        <v>1123</v>
      </c>
      <c r="S506" s="264">
        <v>2006</v>
      </c>
      <c r="T506" s="266" t="s">
        <v>163</v>
      </c>
      <c r="U506" s="267">
        <v>42653</v>
      </c>
      <c r="V506" s="269"/>
      <c r="W506" s="366">
        <f>COUNT(RawMaterials[[#This Row],[Lab Quantity 1]:[Lab Quantity 4]])</f>
        <v>0</v>
      </c>
      <c r="X5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6" s="367" t="e">
        <f>RawMaterials[[#This Row],[Lab Price 1]]/RawMaterials[[#This Row],[Lab Q Model Units 1]]</f>
        <v>#N/A</v>
      </c>
      <c r="AC506" s="367" t="e">
        <f>RawMaterials[[#This Row],[Lab Price 2]]/RawMaterials[[#This Row],[Lab Q Model Units 2]]</f>
        <v>#N/A</v>
      </c>
      <c r="AD506" s="367" t="e">
        <f>RawMaterials[[#This Row],[Lab Price 3]]/RawMaterials[[#This Row],[Lab Q Model Units 3]]</f>
        <v>#N/A</v>
      </c>
      <c r="AE506" s="367" t="e">
        <f>RawMaterials[[#This Row],[Lab Price 4]]/RawMaterials[[#This Row],[Lab Q Model Units 4]]</f>
        <v>#N/A</v>
      </c>
      <c r="AF506" s="367" t="str">
        <f ca="1">IF(RawMaterials[[#This Row],[Lab Quote Count]]&gt;1,SLOPE(LOG(INDIRECT("RawMaterials[@[Lab Unit P 1]:[Lab Unit P "&amp;RawMaterials[[#This Row],[Lab Quote Count]]&amp;"]]")),LOG(INDIRECT("RawMaterials[@[Lab Q Model Units 1]:[Lab Q Model Units "&amp;RawMaterials[[#This Row],[Lab Quote Count]]&amp;"]]"))),"")</f>
        <v/>
      </c>
      <c r="AG506" s="367" t="str">
        <f ca="1">IF(RawMaterials[[#This Row],[Lab Quote Count]]&gt;1,INTERCEPT(LOG(INDIRECT("RawMaterials[@[Lab Unit P 1]:[Lab Unit P "&amp;RawMaterials[[#This Row],[Lab Quote Count]]&amp;"]]")),LOG(INDIRECT("RawMaterials[@[Lab Q Model Units 1]:[Lab Q Model Units "&amp;RawMaterials[[#This Row],[Lab Quote Count]]&amp;"]]"))),"")</f>
        <v/>
      </c>
      <c r="AH506" s="368" t="str">
        <f>IF(RawMaterials[[#This Row],[Material Type]]="Metal Precursor","D13",IF(RawMaterials[[#This Row],[Material Type]]="Ligand","D13","D12"))</f>
        <v>D12</v>
      </c>
      <c r="AI506" s="369" t="str">
        <f ca="1">IF(RawMaterials[[#This Row],[Lab Quote Count]]&gt;1,10^RawMaterials[[#This Row],[Lab Log-Log Intercept]]*INDIRECT(RawMaterials[[#This Row],[Basis Cell]])^RawMaterials[[#This Row],[Lab Log-Log Slope]],"&gt;&gt;&gt; Enter 2 or more lab quotes &lt;&lt;&lt;")</f>
        <v>&gt;&gt;&gt; Enter 2 or more lab quotes &lt;&lt;&lt;</v>
      </c>
      <c r="AJ5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0.30844281159999998</v>
      </c>
      <c r="AL506" s="372">
        <f>IF(ISTEXT(RawMaterials[[#This Row],[Unit price in quote year]]),"Check calcs",RawMaterials[[#This Row],[Unit price in quote year]]/VLOOKUP(RawMaterials[[#This Row],[Quote Year]],ChemPPI[],14,FALSE)*VLOOKUP(BasisYear,ChemPPI[],14,FALSE))</f>
        <v>0.41862334846727645</v>
      </c>
      <c r="AM506" s="373" t="str">
        <f t="shared" si="7"/>
        <v>$/lb (2016)</v>
      </c>
    </row>
    <row r="507" spans="1:39">
      <c r="A507" s="263" t="s">
        <v>1602</v>
      </c>
      <c r="B507" s="264"/>
      <c r="C507" s="271"/>
      <c r="D507" s="365"/>
      <c r="E507" s="264">
        <v>100</v>
      </c>
      <c r="F507" s="264"/>
      <c r="G507" s="271"/>
      <c r="H507" s="271"/>
      <c r="I507" s="268"/>
      <c r="J507" s="271"/>
      <c r="K507" s="271"/>
      <c r="L507" s="271"/>
      <c r="M507" s="271"/>
      <c r="N507" s="271"/>
      <c r="O507" s="271"/>
      <c r="P507" s="265">
        <v>397.5</v>
      </c>
      <c r="Q507" s="264">
        <v>1</v>
      </c>
      <c r="R507" s="264" t="s">
        <v>406</v>
      </c>
      <c r="S507" s="264">
        <v>2006</v>
      </c>
      <c r="T507" s="266" t="s">
        <v>163</v>
      </c>
      <c r="U507" s="267">
        <v>42653</v>
      </c>
      <c r="V507" s="269"/>
      <c r="W507" s="366">
        <f>COUNT(RawMaterials[[#This Row],[Lab Quantity 1]:[Lab Quantity 4]])</f>
        <v>0</v>
      </c>
      <c r="X5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7" s="367" t="e">
        <f>RawMaterials[[#This Row],[Lab Price 1]]/RawMaterials[[#This Row],[Lab Q Model Units 1]]</f>
        <v>#N/A</v>
      </c>
      <c r="AC507" s="367" t="e">
        <f>RawMaterials[[#This Row],[Lab Price 2]]/RawMaterials[[#This Row],[Lab Q Model Units 2]]</f>
        <v>#N/A</v>
      </c>
      <c r="AD507" s="367" t="e">
        <f>RawMaterials[[#This Row],[Lab Price 3]]/RawMaterials[[#This Row],[Lab Q Model Units 3]]</f>
        <v>#N/A</v>
      </c>
      <c r="AE507" s="367" t="e">
        <f>RawMaterials[[#This Row],[Lab Price 4]]/RawMaterials[[#This Row],[Lab Q Model Units 4]]</f>
        <v>#N/A</v>
      </c>
      <c r="AF507" s="367" t="str">
        <f ca="1">IF(RawMaterials[[#This Row],[Lab Quote Count]]&gt;1,SLOPE(LOG(INDIRECT("RawMaterials[@[Lab Unit P 1]:[Lab Unit P "&amp;RawMaterials[[#This Row],[Lab Quote Count]]&amp;"]]")),LOG(INDIRECT("RawMaterials[@[Lab Q Model Units 1]:[Lab Q Model Units "&amp;RawMaterials[[#This Row],[Lab Quote Count]]&amp;"]]"))),"")</f>
        <v/>
      </c>
      <c r="AG507" s="367" t="str">
        <f ca="1">IF(RawMaterials[[#This Row],[Lab Quote Count]]&gt;1,INTERCEPT(LOG(INDIRECT("RawMaterials[@[Lab Unit P 1]:[Lab Unit P "&amp;RawMaterials[[#This Row],[Lab Quote Count]]&amp;"]]")),LOG(INDIRECT("RawMaterials[@[Lab Q Model Units 1]:[Lab Q Model Units "&amp;RawMaterials[[#This Row],[Lab Quote Count]]&amp;"]]"))),"")</f>
        <v/>
      </c>
      <c r="AH507" s="368" t="str">
        <f>IF(RawMaterials[[#This Row],[Material Type]]="Metal Precursor","D13",IF(RawMaterials[[#This Row],[Material Type]]="Ligand","D13","D12"))</f>
        <v>D12</v>
      </c>
      <c r="AI507" s="369" t="str">
        <f ca="1">IF(RawMaterials[[#This Row],[Lab Quote Count]]&gt;1,10^RawMaterials[[#This Row],[Lab Log-Log Intercept]]*INDIRECT(RawMaterials[[#This Row],[Basis Cell]])^RawMaterials[[#This Row],[Lab Log-Log Slope]],"&gt;&gt;&gt; Enter 2 or more lab quotes &lt;&lt;&lt;")</f>
        <v>&gt;&gt;&gt; Enter 2 or more lab quotes &lt;&lt;&lt;</v>
      </c>
      <c r="AJ5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0.19875000000000001</v>
      </c>
      <c r="AL507" s="372">
        <f>IF(ISTEXT(RawMaterials[[#This Row],[Unit price in quote year]]),"Check calcs",RawMaterials[[#This Row],[Unit price in quote year]]/VLOOKUP(RawMaterials[[#This Row],[Quote Year]],ChemPPI[],14,FALSE)*VLOOKUP(BasisYear,ChemPPI[],14,FALSE))</f>
        <v>0.2697465701219513</v>
      </c>
      <c r="AM507" s="373" t="str">
        <f t="shared" si="7"/>
        <v>$/lb (2016)</v>
      </c>
    </row>
    <row r="508" spans="1:39">
      <c r="A508" s="263" t="s">
        <v>1603</v>
      </c>
      <c r="B508" s="264"/>
      <c r="C508" s="271"/>
      <c r="D508" s="365"/>
      <c r="E508" s="264">
        <v>100</v>
      </c>
      <c r="F508" s="264"/>
      <c r="G508" s="271"/>
      <c r="H508" s="271"/>
      <c r="I508" s="268"/>
      <c r="J508" s="271"/>
      <c r="K508" s="271"/>
      <c r="L508" s="271"/>
      <c r="M508" s="271"/>
      <c r="N508" s="271"/>
      <c r="O508" s="271"/>
      <c r="P508" s="265">
        <v>1.56</v>
      </c>
      <c r="Q508" s="264">
        <v>1</v>
      </c>
      <c r="R508" s="264" t="s">
        <v>20</v>
      </c>
      <c r="S508" s="264">
        <v>2006</v>
      </c>
      <c r="T508" s="266" t="s">
        <v>163</v>
      </c>
      <c r="U508" s="267">
        <v>42653</v>
      </c>
      <c r="V508" s="269"/>
      <c r="W508" s="366">
        <f>COUNT(RawMaterials[[#This Row],[Lab Quantity 1]:[Lab Quantity 4]])</f>
        <v>0</v>
      </c>
      <c r="X5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8" s="367" t="e">
        <f>RawMaterials[[#This Row],[Lab Price 1]]/RawMaterials[[#This Row],[Lab Q Model Units 1]]</f>
        <v>#N/A</v>
      </c>
      <c r="AC508" s="367" t="e">
        <f>RawMaterials[[#This Row],[Lab Price 2]]/RawMaterials[[#This Row],[Lab Q Model Units 2]]</f>
        <v>#N/A</v>
      </c>
      <c r="AD508" s="367" t="e">
        <f>RawMaterials[[#This Row],[Lab Price 3]]/RawMaterials[[#This Row],[Lab Q Model Units 3]]</f>
        <v>#N/A</v>
      </c>
      <c r="AE508" s="367" t="e">
        <f>RawMaterials[[#This Row],[Lab Price 4]]/RawMaterials[[#This Row],[Lab Q Model Units 4]]</f>
        <v>#N/A</v>
      </c>
      <c r="AF508" s="367" t="str">
        <f ca="1">IF(RawMaterials[[#This Row],[Lab Quote Count]]&gt;1,SLOPE(LOG(INDIRECT("RawMaterials[@[Lab Unit P 1]:[Lab Unit P "&amp;RawMaterials[[#This Row],[Lab Quote Count]]&amp;"]]")),LOG(INDIRECT("RawMaterials[@[Lab Q Model Units 1]:[Lab Q Model Units "&amp;RawMaterials[[#This Row],[Lab Quote Count]]&amp;"]]"))),"")</f>
        <v/>
      </c>
      <c r="AG508" s="367" t="str">
        <f ca="1">IF(RawMaterials[[#This Row],[Lab Quote Count]]&gt;1,INTERCEPT(LOG(INDIRECT("RawMaterials[@[Lab Unit P 1]:[Lab Unit P "&amp;RawMaterials[[#This Row],[Lab Quote Count]]&amp;"]]")),LOG(INDIRECT("RawMaterials[@[Lab Q Model Units 1]:[Lab Q Model Units "&amp;RawMaterials[[#This Row],[Lab Quote Count]]&amp;"]]"))),"")</f>
        <v/>
      </c>
      <c r="AH508" s="368" t="str">
        <f>IF(RawMaterials[[#This Row],[Material Type]]="Metal Precursor","D13",IF(RawMaterials[[#This Row],[Material Type]]="Ligand","D13","D12"))</f>
        <v>D12</v>
      </c>
      <c r="AI508" s="369" t="str">
        <f ca="1">IF(RawMaterials[[#This Row],[Lab Quote Count]]&gt;1,10^RawMaterials[[#This Row],[Lab Log-Log Intercept]]*INDIRECT(RawMaterials[[#This Row],[Basis Cell]])^RawMaterials[[#This Row],[Lab Log-Log Slope]],"&gt;&gt;&gt; Enter 2 or more lab quotes &lt;&lt;&lt;")</f>
        <v>&gt;&gt;&gt; Enter 2 or more lab quotes &lt;&lt;&lt;</v>
      </c>
      <c r="AJ50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1.56</v>
      </c>
      <c r="AL508" s="372">
        <f>IF(ISTEXT(RawMaterials[[#This Row],[Unit price in quote year]]),"Check calcs",RawMaterials[[#This Row],[Unit price in quote year]]/VLOOKUP(RawMaterials[[#This Row],[Quote Year]],ChemPPI[],14,FALSE)*VLOOKUP(BasisYear,ChemPPI[],14,FALSE))</f>
        <v>2.117256097560976</v>
      </c>
      <c r="AM508" s="373" t="str">
        <f t="shared" si="7"/>
        <v>$/lb (2016)</v>
      </c>
    </row>
    <row r="509" spans="1:39">
      <c r="A509" s="263" t="s">
        <v>1604</v>
      </c>
      <c r="B509" s="264"/>
      <c r="C509" s="271"/>
      <c r="D509" s="365"/>
      <c r="E509" s="264">
        <v>100</v>
      </c>
      <c r="F509" s="264"/>
      <c r="G509" s="271"/>
      <c r="H509" s="271"/>
      <c r="I509" s="268"/>
      <c r="J509" s="271"/>
      <c r="K509" s="271"/>
      <c r="L509" s="271"/>
      <c r="M509" s="271"/>
      <c r="N509" s="271"/>
      <c r="O509" s="271"/>
      <c r="P509" s="265">
        <v>0.87</v>
      </c>
      <c r="Q509" s="264">
        <v>1</v>
      </c>
      <c r="R509" s="264" t="s">
        <v>20</v>
      </c>
      <c r="S509" s="264">
        <v>2006</v>
      </c>
      <c r="T509" s="266" t="s">
        <v>163</v>
      </c>
      <c r="U509" s="267">
        <v>42653</v>
      </c>
      <c r="V509" s="269"/>
      <c r="W509" s="366">
        <f>COUNT(RawMaterials[[#This Row],[Lab Quantity 1]:[Lab Quantity 4]])</f>
        <v>0</v>
      </c>
      <c r="X5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09" s="367" t="e">
        <f>RawMaterials[[#This Row],[Lab Price 1]]/RawMaterials[[#This Row],[Lab Q Model Units 1]]</f>
        <v>#N/A</v>
      </c>
      <c r="AC509" s="367" t="e">
        <f>RawMaterials[[#This Row],[Lab Price 2]]/RawMaterials[[#This Row],[Lab Q Model Units 2]]</f>
        <v>#N/A</v>
      </c>
      <c r="AD509" s="367" t="e">
        <f>RawMaterials[[#This Row],[Lab Price 3]]/RawMaterials[[#This Row],[Lab Q Model Units 3]]</f>
        <v>#N/A</v>
      </c>
      <c r="AE509" s="367" t="e">
        <f>RawMaterials[[#This Row],[Lab Price 4]]/RawMaterials[[#This Row],[Lab Q Model Units 4]]</f>
        <v>#N/A</v>
      </c>
      <c r="AF509" s="367" t="str">
        <f ca="1">IF(RawMaterials[[#This Row],[Lab Quote Count]]&gt;1,SLOPE(LOG(INDIRECT("RawMaterials[@[Lab Unit P 1]:[Lab Unit P "&amp;RawMaterials[[#This Row],[Lab Quote Count]]&amp;"]]")),LOG(INDIRECT("RawMaterials[@[Lab Q Model Units 1]:[Lab Q Model Units "&amp;RawMaterials[[#This Row],[Lab Quote Count]]&amp;"]]"))),"")</f>
        <v/>
      </c>
      <c r="AG509" s="367" t="str">
        <f ca="1">IF(RawMaterials[[#This Row],[Lab Quote Count]]&gt;1,INTERCEPT(LOG(INDIRECT("RawMaterials[@[Lab Unit P 1]:[Lab Unit P "&amp;RawMaterials[[#This Row],[Lab Quote Count]]&amp;"]]")),LOG(INDIRECT("RawMaterials[@[Lab Q Model Units 1]:[Lab Q Model Units "&amp;RawMaterials[[#This Row],[Lab Quote Count]]&amp;"]]"))),"")</f>
        <v/>
      </c>
      <c r="AH509" s="368" t="str">
        <f>IF(RawMaterials[[#This Row],[Material Type]]="Metal Precursor","D13",IF(RawMaterials[[#This Row],[Material Type]]="Ligand","D13","D12"))</f>
        <v>D12</v>
      </c>
      <c r="AI509" s="369" t="str">
        <f ca="1">IF(RawMaterials[[#This Row],[Lab Quote Count]]&gt;1,10^RawMaterials[[#This Row],[Lab Log-Log Intercept]]*INDIRECT(RawMaterials[[#This Row],[Basis Cell]])^RawMaterials[[#This Row],[Lab Log-Log Slope]],"&gt;&gt;&gt; Enter 2 or more lab quotes &lt;&lt;&lt;")</f>
        <v>&gt;&gt;&gt; Enter 2 or more lab quotes &lt;&lt;&lt;</v>
      </c>
      <c r="AJ5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v>
      </c>
      <c r="AL509" s="372">
        <f>IF(ISTEXT(RawMaterials[[#This Row],[Unit price in quote year]]),"Check calcs",RawMaterials[[#This Row],[Unit price in quote year]]/VLOOKUP(RawMaterials[[#This Row],[Quote Year]],ChemPPI[],14,FALSE)*VLOOKUP(BasisYear,ChemPPI[],14,FALSE))</f>
        <v>1.1807774390243904</v>
      </c>
      <c r="AM509" s="373" t="str">
        <f t="shared" si="7"/>
        <v>$/lb (2016)</v>
      </c>
    </row>
    <row r="510" spans="1:39">
      <c r="A510" s="263" t="s">
        <v>1605</v>
      </c>
      <c r="B510" s="264"/>
      <c r="C510" s="271"/>
      <c r="D510" s="365"/>
      <c r="E510" s="264">
        <v>100</v>
      </c>
      <c r="F510" s="264"/>
      <c r="G510" s="271"/>
      <c r="H510" s="271"/>
      <c r="I510" s="268"/>
      <c r="J510" s="271"/>
      <c r="K510" s="271"/>
      <c r="L510" s="271"/>
      <c r="M510" s="271"/>
      <c r="N510" s="271"/>
      <c r="O510" s="271"/>
      <c r="P510" s="265">
        <v>0.56000000000000005</v>
      </c>
      <c r="Q510" s="264">
        <v>1</v>
      </c>
      <c r="R510" s="264" t="s">
        <v>20</v>
      </c>
      <c r="S510" s="264">
        <v>2006</v>
      </c>
      <c r="T510" s="266" t="s">
        <v>163</v>
      </c>
      <c r="U510" s="267">
        <v>42653</v>
      </c>
      <c r="V510" s="269"/>
      <c r="W510" s="366">
        <f>COUNT(RawMaterials[[#This Row],[Lab Quantity 1]:[Lab Quantity 4]])</f>
        <v>0</v>
      </c>
      <c r="X5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0" s="367" t="e">
        <f>RawMaterials[[#This Row],[Lab Price 1]]/RawMaterials[[#This Row],[Lab Q Model Units 1]]</f>
        <v>#N/A</v>
      </c>
      <c r="AC510" s="367" t="e">
        <f>RawMaterials[[#This Row],[Lab Price 2]]/RawMaterials[[#This Row],[Lab Q Model Units 2]]</f>
        <v>#N/A</v>
      </c>
      <c r="AD510" s="367" t="e">
        <f>RawMaterials[[#This Row],[Lab Price 3]]/RawMaterials[[#This Row],[Lab Q Model Units 3]]</f>
        <v>#N/A</v>
      </c>
      <c r="AE510" s="367" t="e">
        <f>RawMaterials[[#This Row],[Lab Price 4]]/RawMaterials[[#This Row],[Lab Q Model Units 4]]</f>
        <v>#N/A</v>
      </c>
      <c r="AF510" s="367" t="str">
        <f ca="1">IF(RawMaterials[[#This Row],[Lab Quote Count]]&gt;1,SLOPE(LOG(INDIRECT("RawMaterials[@[Lab Unit P 1]:[Lab Unit P "&amp;RawMaterials[[#This Row],[Lab Quote Count]]&amp;"]]")),LOG(INDIRECT("RawMaterials[@[Lab Q Model Units 1]:[Lab Q Model Units "&amp;RawMaterials[[#This Row],[Lab Quote Count]]&amp;"]]"))),"")</f>
        <v/>
      </c>
      <c r="AG510" s="367" t="str">
        <f ca="1">IF(RawMaterials[[#This Row],[Lab Quote Count]]&gt;1,INTERCEPT(LOG(INDIRECT("RawMaterials[@[Lab Unit P 1]:[Lab Unit P "&amp;RawMaterials[[#This Row],[Lab Quote Count]]&amp;"]]")),LOG(INDIRECT("RawMaterials[@[Lab Q Model Units 1]:[Lab Q Model Units "&amp;RawMaterials[[#This Row],[Lab Quote Count]]&amp;"]]"))),"")</f>
        <v/>
      </c>
      <c r="AH510" s="368" t="str">
        <f>IF(RawMaterials[[#This Row],[Material Type]]="Metal Precursor","D13",IF(RawMaterials[[#This Row],[Material Type]]="Ligand","D13","D12"))</f>
        <v>D12</v>
      </c>
      <c r="AI510" s="369" t="str">
        <f ca="1">IF(RawMaterials[[#This Row],[Lab Quote Count]]&gt;1,10^RawMaterials[[#This Row],[Lab Log-Log Intercept]]*INDIRECT(RawMaterials[[#This Row],[Basis Cell]])^RawMaterials[[#This Row],[Lab Log-Log Slope]],"&gt;&gt;&gt; Enter 2 or more lab quotes &lt;&lt;&lt;")</f>
        <v>&gt;&gt;&gt; Enter 2 or more lab quotes &lt;&lt;&lt;</v>
      </c>
      <c r="AJ5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0.56000000000000005</v>
      </c>
      <c r="AL510" s="372">
        <f>IF(ISTEXT(RawMaterials[[#This Row],[Unit price in quote year]]),"Check calcs",RawMaterials[[#This Row],[Unit price in quote year]]/VLOOKUP(RawMaterials[[#This Row],[Quote Year]],ChemPPI[],14,FALSE)*VLOOKUP(BasisYear,ChemPPI[],14,FALSE))</f>
        <v>0.76004065040650426</v>
      </c>
      <c r="AM510" s="373" t="str">
        <f t="shared" si="7"/>
        <v>$/lb (2016)</v>
      </c>
    </row>
    <row r="511" spans="1:39">
      <c r="A511" s="263" t="s">
        <v>1606</v>
      </c>
      <c r="B511" s="264"/>
      <c r="C511" s="271"/>
      <c r="D511" s="365"/>
      <c r="E511" s="264">
        <v>100</v>
      </c>
      <c r="F511" s="264"/>
      <c r="G511" s="271"/>
      <c r="H511" s="271"/>
      <c r="I511" s="268"/>
      <c r="J511" s="271"/>
      <c r="K511" s="271"/>
      <c r="L511" s="271"/>
      <c r="M511" s="271"/>
      <c r="N511" s="271"/>
      <c r="O511" s="271"/>
      <c r="P511" s="265">
        <v>3.665</v>
      </c>
      <c r="Q511" s="264">
        <v>1</v>
      </c>
      <c r="R511" s="264" t="s">
        <v>20</v>
      </c>
      <c r="S511" s="264">
        <v>2006</v>
      </c>
      <c r="T511" s="266" t="s">
        <v>163</v>
      </c>
      <c r="U511" s="267">
        <v>42653</v>
      </c>
      <c r="V511" s="269"/>
      <c r="W511" s="366">
        <f>COUNT(RawMaterials[[#This Row],[Lab Quantity 1]:[Lab Quantity 4]])</f>
        <v>0</v>
      </c>
      <c r="X5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1" s="367" t="e">
        <f>RawMaterials[[#This Row],[Lab Price 1]]/RawMaterials[[#This Row],[Lab Q Model Units 1]]</f>
        <v>#N/A</v>
      </c>
      <c r="AC511" s="367" t="e">
        <f>RawMaterials[[#This Row],[Lab Price 2]]/RawMaterials[[#This Row],[Lab Q Model Units 2]]</f>
        <v>#N/A</v>
      </c>
      <c r="AD511" s="367" t="e">
        <f>RawMaterials[[#This Row],[Lab Price 3]]/RawMaterials[[#This Row],[Lab Q Model Units 3]]</f>
        <v>#N/A</v>
      </c>
      <c r="AE511" s="367" t="e">
        <f>RawMaterials[[#This Row],[Lab Price 4]]/RawMaterials[[#This Row],[Lab Q Model Units 4]]</f>
        <v>#N/A</v>
      </c>
      <c r="AF511" s="367" t="str">
        <f ca="1">IF(RawMaterials[[#This Row],[Lab Quote Count]]&gt;1,SLOPE(LOG(INDIRECT("RawMaterials[@[Lab Unit P 1]:[Lab Unit P "&amp;RawMaterials[[#This Row],[Lab Quote Count]]&amp;"]]")),LOG(INDIRECT("RawMaterials[@[Lab Q Model Units 1]:[Lab Q Model Units "&amp;RawMaterials[[#This Row],[Lab Quote Count]]&amp;"]]"))),"")</f>
        <v/>
      </c>
      <c r="AG511" s="367" t="str">
        <f ca="1">IF(RawMaterials[[#This Row],[Lab Quote Count]]&gt;1,INTERCEPT(LOG(INDIRECT("RawMaterials[@[Lab Unit P 1]:[Lab Unit P "&amp;RawMaterials[[#This Row],[Lab Quote Count]]&amp;"]]")),LOG(INDIRECT("RawMaterials[@[Lab Q Model Units 1]:[Lab Q Model Units "&amp;RawMaterials[[#This Row],[Lab Quote Count]]&amp;"]]"))),"")</f>
        <v/>
      </c>
      <c r="AH511" s="368" t="str">
        <f>IF(RawMaterials[[#This Row],[Material Type]]="Metal Precursor","D13",IF(RawMaterials[[#This Row],[Material Type]]="Ligand","D13","D12"))</f>
        <v>D12</v>
      </c>
      <c r="AI511" s="369" t="str">
        <f ca="1">IF(RawMaterials[[#This Row],[Lab Quote Count]]&gt;1,10^RawMaterials[[#This Row],[Lab Log-Log Intercept]]*INDIRECT(RawMaterials[[#This Row],[Basis Cell]])^RawMaterials[[#This Row],[Lab Log-Log Slope]],"&gt;&gt;&gt; Enter 2 or more lab quotes &lt;&lt;&lt;")</f>
        <v>&gt;&gt;&gt; Enter 2 or more lab quotes &lt;&lt;&lt;</v>
      </c>
      <c r="AJ5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3.665</v>
      </c>
      <c r="AL511" s="372">
        <f>IF(ISTEXT(RawMaterials[[#This Row],[Unit price in quote year]]),"Check calcs",RawMaterials[[#This Row],[Unit price in quote year]]/VLOOKUP(RawMaterials[[#This Row],[Quote Year]],ChemPPI[],14,FALSE)*VLOOKUP(BasisYear,ChemPPI[],14,FALSE))</f>
        <v>4.9741946138211386</v>
      </c>
      <c r="AM511" s="373" t="str">
        <f t="shared" si="7"/>
        <v>$/lb (2016)</v>
      </c>
    </row>
    <row r="512" spans="1:39">
      <c r="A512" s="263" t="s">
        <v>1607</v>
      </c>
      <c r="B512" s="264"/>
      <c r="C512" s="271"/>
      <c r="D512" s="365"/>
      <c r="E512" s="264">
        <v>100</v>
      </c>
      <c r="F512" s="264"/>
      <c r="G512" s="271"/>
      <c r="H512" s="271"/>
      <c r="I512" s="268"/>
      <c r="J512" s="271"/>
      <c r="K512" s="271"/>
      <c r="L512" s="271"/>
      <c r="M512" s="271"/>
      <c r="N512" s="271"/>
      <c r="O512" s="271"/>
      <c r="P512" s="265">
        <v>0.63</v>
      </c>
      <c r="Q512" s="264">
        <v>1</v>
      </c>
      <c r="R512" s="264" t="s">
        <v>20</v>
      </c>
      <c r="S512" s="264">
        <v>2006</v>
      </c>
      <c r="T512" s="266" t="s">
        <v>163</v>
      </c>
      <c r="U512" s="267">
        <v>42653</v>
      </c>
      <c r="V512" s="269"/>
      <c r="W512" s="366">
        <f>COUNT(RawMaterials[[#This Row],[Lab Quantity 1]:[Lab Quantity 4]])</f>
        <v>0</v>
      </c>
      <c r="X5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2" s="367" t="e">
        <f>RawMaterials[[#This Row],[Lab Price 1]]/RawMaterials[[#This Row],[Lab Q Model Units 1]]</f>
        <v>#N/A</v>
      </c>
      <c r="AC512" s="367" t="e">
        <f>RawMaterials[[#This Row],[Lab Price 2]]/RawMaterials[[#This Row],[Lab Q Model Units 2]]</f>
        <v>#N/A</v>
      </c>
      <c r="AD512" s="367" t="e">
        <f>RawMaterials[[#This Row],[Lab Price 3]]/RawMaterials[[#This Row],[Lab Q Model Units 3]]</f>
        <v>#N/A</v>
      </c>
      <c r="AE512" s="367" t="e">
        <f>RawMaterials[[#This Row],[Lab Price 4]]/RawMaterials[[#This Row],[Lab Q Model Units 4]]</f>
        <v>#N/A</v>
      </c>
      <c r="AF512" s="367" t="str">
        <f ca="1">IF(RawMaterials[[#This Row],[Lab Quote Count]]&gt;1,SLOPE(LOG(INDIRECT("RawMaterials[@[Lab Unit P 1]:[Lab Unit P "&amp;RawMaterials[[#This Row],[Lab Quote Count]]&amp;"]]")),LOG(INDIRECT("RawMaterials[@[Lab Q Model Units 1]:[Lab Q Model Units "&amp;RawMaterials[[#This Row],[Lab Quote Count]]&amp;"]]"))),"")</f>
        <v/>
      </c>
      <c r="AG512" s="367" t="str">
        <f ca="1">IF(RawMaterials[[#This Row],[Lab Quote Count]]&gt;1,INTERCEPT(LOG(INDIRECT("RawMaterials[@[Lab Unit P 1]:[Lab Unit P "&amp;RawMaterials[[#This Row],[Lab Quote Count]]&amp;"]]")),LOG(INDIRECT("RawMaterials[@[Lab Q Model Units 1]:[Lab Q Model Units "&amp;RawMaterials[[#This Row],[Lab Quote Count]]&amp;"]]"))),"")</f>
        <v/>
      </c>
      <c r="AH512" s="368" t="str">
        <f>IF(RawMaterials[[#This Row],[Material Type]]="Metal Precursor","D13",IF(RawMaterials[[#This Row],[Material Type]]="Ligand","D13","D12"))</f>
        <v>D12</v>
      </c>
      <c r="AI512" s="369" t="str">
        <f ca="1">IF(RawMaterials[[#This Row],[Lab Quote Count]]&gt;1,10^RawMaterials[[#This Row],[Lab Log-Log Intercept]]*INDIRECT(RawMaterials[[#This Row],[Basis Cell]])^RawMaterials[[#This Row],[Lab Log-Log Slope]],"&gt;&gt;&gt; Enter 2 or more lab quotes &lt;&lt;&lt;")</f>
        <v>&gt;&gt;&gt; Enter 2 or more lab quotes &lt;&lt;&lt;</v>
      </c>
      <c r="AJ5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0.63</v>
      </c>
      <c r="AL512" s="372">
        <f>IF(ISTEXT(RawMaterials[[#This Row],[Unit price in quote year]]),"Check calcs",RawMaterials[[#This Row],[Unit price in quote year]]/VLOOKUP(RawMaterials[[#This Row],[Quote Year]],ChemPPI[],14,FALSE)*VLOOKUP(BasisYear,ChemPPI[],14,FALSE))</f>
        <v>0.85504573170731724</v>
      </c>
      <c r="AM512" s="373" t="str">
        <f t="shared" si="7"/>
        <v>$/lb (2016)</v>
      </c>
    </row>
    <row r="513" spans="1:39">
      <c r="A513" s="263" t="s">
        <v>1608</v>
      </c>
      <c r="B513" s="264"/>
      <c r="C513" s="271"/>
      <c r="D513" s="365"/>
      <c r="E513" s="264">
        <v>100</v>
      </c>
      <c r="F513" s="264"/>
      <c r="G513" s="271"/>
      <c r="H513" s="271"/>
      <c r="I513" s="268"/>
      <c r="J513" s="271"/>
      <c r="K513" s="271"/>
      <c r="L513" s="271"/>
      <c r="M513" s="271"/>
      <c r="N513" s="271"/>
      <c r="O513" s="271"/>
      <c r="P513" s="265">
        <v>0.6</v>
      </c>
      <c r="Q513" s="264">
        <v>1</v>
      </c>
      <c r="R513" s="264" t="s">
        <v>20</v>
      </c>
      <c r="S513" s="264">
        <v>2006</v>
      </c>
      <c r="T513" s="266" t="s">
        <v>163</v>
      </c>
      <c r="U513" s="267">
        <v>42653</v>
      </c>
      <c r="V513" s="269"/>
      <c r="W513" s="366">
        <f>COUNT(RawMaterials[[#This Row],[Lab Quantity 1]:[Lab Quantity 4]])</f>
        <v>0</v>
      </c>
      <c r="X5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3" s="367" t="e">
        <f>RawMaterials[[#This Row],[Lab Price 1]]/RawMaterials[[#This Row],[Lab Q Model Units 1]]</f>
        <v>#N/A</v>
      </c>
      <c r="AC513" s="367" t="e">
        <f>RawMaterials[[#This Row],[Lab Price 2]]/RawMaterials[[#This Row],[Lab Q Model Units 2]]</f>
        <v>#N/A</v>
      </c>
      <c r="AD513" s="367" t="e">
        <f>RawMaterials[[#This Row],[Lab Price 3]]/RawMaterials[[#This Row],[Lab Q Model Units 3]]</f>
        <v>#N/A</v>
      </c>
      <c r="AE513" s="367" t="e">
        <f>RawMaterials[[#This Row],[Lab Price 4]]/RawMaterials[[#This Row],[Lab Q Model Units 4]]</f>
        <v>#N/A</v>
      </c>
      <c r="AF513" s="367" t="str">
        <f ca="1">IF(RawMaterials[[#This Row],[Lab Quote Count]]&gt;1,SLOPE(LOG(INDIRECT("RawMaterials[@[Lab Unit P 1]:[Lab Unit P "&amp;RawMaterials[[#This Row],[Lab Quote Count]]&amp;"]]")),LOG(INDIRECT("RawMaterials[@[Lab Q Model Units 1]:[Lab Q Model Units "&amp;RawMaterials[[#This Row],[Lab Quote Count]]&amp;"]]"))),"")</f>
        <v/>
      </c>
      <c r="AG513" s="367" t="str">
        <f ca="1">IF(RawMaterials[[#This Row],[Lab Quote Count]]&gt;1,INTERCEPT(LOG(INDIRECT("RawMaterials[@[Lab Unit P 1]:[Lab Unit P "&amp;RawMaterials[[#This Row],[Lab Quote Count]]&amp;"]]")),LOG(INDIRECT("RawMaterials[@[Lab Q Model Units 1]:[Lab Q Model Units "&amp;RawMaterials[[#This Row],[Lab Quote Count]]&amp;"]]"))),"")</f>
        <v/>
      </c>
      <c r="AH513" s="368" t="str">
        <f>IF(RawMaterials[[#This Row],[Material Type]]="Metal Precursor","D13",IF(RawMaterials[[#This Row],[Material Type]]="Ligand","D13","D12"))</f>
        <v>D12</v>
      </c>
      <c r="AI513" s="369" t="str">
        <f ca="1">IF(RawMaterials[[#This Row],[Lab Quote Count]]&gt;1,10^RawMaterials[[#This Row],[Lab Log-Log Intercept]]*INDIRECT(RawMaterials[[#This Row],[Basis Cell]])^RawMaterials[[#This Row],[Lab Log-Log Slope]],"&gt;&gt;&gt; Enter 2 or more lab quotes &lt;&lt;&lt;")</f>
        <v>&gt;&gt;&gt; Enter 2 or more lab quotes &lt;&lt;&lt;</v>
      </c>
      <c r="AJ5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v>
      </c>
      <c r="AL513" s="372">
        <f>IF(ISTEXT(RawMaterials[[#This Row],[Unit price in quote year]]),"Check calcs",RawMaterials[[#This Row],[Unit price in quote year]]/VLOOKUP(RawMaterials[[#This Row],[Quote Year]],ChemPPI[],14,FALSE)*VLOOKUP(BasisYear,ChemPPI[],14,FALSE))</f>
        <v>0.81432926829268304</v>
      </c>
      <c r="AM513" s="373" t="str">
        <f t="shared" si="7"/>
        <v>$/lb (2016)</v>
      </c>
    </row>
    <row r="514" spans="1:39">
      <c r="A514" s="263" t="s">
        <v>1609</v>
      </c>
      <c r="B514" s="264"/>
      <c r="C514" s="271"/>
      <c r="D514" s="365"/>
      <c r="E514" s="264">
        <v>100</v>
      </c>
      <c r="F514" s="264"/>
      <c r="G514" s="271"/>
      <c r="H514" s="271"/>
      <c r="I514" s="268"/>
      <c r="J514" s="271"/>
      <c r="K514" s="271"/>
      <c r="L514" s="271"/>
      <c r="M514" s="271"/>
      <c r="N514" s="271"/>
      <c r="O514" s="271"/>
      <c r="P514" s="265">
        <v>0.67999999999999905</v>
      </c>
      <c r="Q514" s="264">
        <v>1</v>
      </c>
      <c r="R514" s="264" t="s">
        <v>20</v>
      </c>
      <c r="S514" s="264">
        <v>2006</v>
      </c>
      <c r="T514" s="266" t="s">
        <v>163</v>
      </c>
      <c r="U514" s="267">
        <v>42653</v>
      </c>
      <c r="V514" s="269"/>
      <c r="W514" s="366">
        <f>COUNT(RawMaterials[[#This Row],[Lab Quantity 1]:[Lab Quantity 4]])</f>
        <v>0</v>
      </c>
      <c r="X5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4" s="367" t="e">
        <f>RawMaterials[[#This Row],[Lab Price 1]]/RawMaterials[[#This Row],[Lab Q Model Units 1]]</f>
        <v>#N/A</v>
      </c>
      <c r="AC514" s="367" t="e">
        <f>RawMaterials[[#This Row],[Lab Price 2]]/RawMaterials[[#This Row],[Lab Q Model Units 2]]</f>
        <v>#N/A</v>
      </c>
      <c r="AD514" s="367" t="e">
        <f>RawMaterials[[#This Row],[Lab Price 3]]/RawMaterials[[#This Row],[Lab Q Model Units 3]]</f>
        <v>#N/A</v>
      </c>
      <c r="AE514" s="367" t="e">
        <f>RawMaterials[[#This Row],[Lab Price 4]]/RawMaterials[[#This Row],[Lab Q Model Units 4]]</f>
        <v>#N/A</v>
      </c>
      <c r="AF514" s="367" t="str">
        <f ca="1">IF(RawMaterials[[#This Row],[Lab Quote Count]]&gt;1,SLOPE(LOG(INDIRECT("RawMaterials[@[Lab Unit P 1]:[Lab Unit P "&amp;RawMaterials[[#This Row],[Lab Quote Count]]&amp;"]]")),LOG(INDIRECT("RawMaterials[@[Lab Q Model Units 1]:[Lab Q Model Units "&amp;RawMaterials[[#This Row],[Lab Quote Count]]&amp;"]]"))),"")</f>
        <v/>
      </c>
      <c r="AG514" s="367" t="str">
        <f ca="1">IF(RawMaterials[[#This Row],[Lab Quote Count]]&gt;1,INTERCEPT(LOG(INDIRECT("RawMaterials[@[Lab Unit P 1]:[Lab Unit P "&amp;RawMaterials[[#This Row],[Lab Quote Count]]&amp;"]]")),LOG(INDIRECT("RawMaterials[@[Lab Q Model Units 1]:[Lab Q Model Units "&amp;RawMaterials[[#This Row],[Lab Quote Count]]&amp;"]]"))),"")</f>
        <v/>
      </c>
      <c r="AH514" s="368" t="str">
        <f>IF(RawMaterials[[#This Row],[Material Type]]="Metal Precursor","D13",IF(RawMaterials[[#This Row],[Material Type]]="Ligand","D13","D12"))</f>
        <v>D12</v>
      </c>
      <c r="AI514" s="369" t="str">
        <f ca="1">IF(RawMaterials[[#This Row],[Lab Quote Count]]&gt;1,10^RawMaterials[[#This Row],[Lab Log-Log Intercept]]*INDIRECT(RawMaterials[[#This Row],[Basis Cell]])^RawMaterials[[#This Row],[Lab Log-Log Slope]],"&gt;&gt;&gt; Enter 2 or more lab quotes &lt;&lt;&lt;")</f>
        <v>&gt;&gt;&gt; Enter 2 or more lab quotes &lt;&lt;&lt;</v>
      </c>
      <c r="AJ5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0.67999999999999905</v>
      </c>
      <c r="AL514" s="372">
        <f>IF(ISTEXT(RawMaterials[[#This Row],[Unit price in quote year]]),"Check calcs",RawMaterials[[#This Row],[Unit price in quote year]]/VLOOKUP(RawMaterials[[#This Row],[Quote Year]],ChemPPI[],14,FALSE)*VLOOKUP(BasisYear,ChemPPI[],14,FALSE))</f>
        <v>0.92290650406503949</v>
      </c>
      <c r="AM514" s="373" t="str">
        <f t="shared" si="7"/>
        <v>$/lb (2016)</v>
      </c>
    </row>
    <row r="515" spans="1:39">
      <c r="A515" s="263" t="s">
        <v>1610</v>
      </c>
      <c r="B515" s="264"/>
      <c r="C515" s="271"/>
      <c r="D515" s="365"/>
      <c r="E515" s="264">
        <v>100</v>
      </c>
      <c r="F515" s="264"/>
      <c r="G515" s="271"/>
      <c r="H515" s="271"/>
      <c r="I515" s="268"/>
      <c r="J515" s="271"/>
      <c r="K515" s="271"/>
      <c r="L515" s="271"/>
      <c r="M515" s="271"/>
      <c r="N515" s="271"/>
      <c r="O515" s="271"/>
      <c r="P515" s="265">
        <v>6.15</v>
      </c>
      <c r="Q515" s="264">
        <v>1</v>
      </c>
      <c r="R515" s="264" t="s">
        <v>20</v>
      </c>
      <c r="S515" s="264">
        <v>2006</v>
      </c>
      <c r="T515" s="266" t="s">
        <v>163</v>
      </c>
      <c r="U515" s="267">
        <v>42653</v>
      </c>
      <c r="V515" s="269"/>
      <c r="W515" s="366">
        <f>COUNT(RawMaterials[[#This Row],[Lab Quantity 1]:[Lab Quantity 4]])</f>
        <v>0</v>
      </c>
      <c r="X5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5" s="367" t="e">
        <f>RawMaterials[[#This Row],[Lab Price 1]]/RawMaterials[[#This Row],[Lab Q Model Units 1]]</f>
        <v>#N/A</v>
      </c>
      <c r="AC515" s="367" t="e">
        <f>RawMaterials[[#This Row],[Lab Price 2]]/RawMaterials[[#This Row],[Lab Q Model Units 2]]</f>
        <v>#N/A</v>
      </c>
      <c r="AD515" s="367" t="e">
        <f>RawMaterials[[#This Row],[Lab Price 3]]/RawMaterials[[#This Row],[Lab Q Model Units 3]]</f>
        <v>#N/A</v>
      </c>
      <c r="AE515" s="367" t="e">
        <f>RawMaterials[[#This Row],[Lab Price 4]]/RawMaterials[[#This Row],[Lab Q Model Units 4]]</f>
        <v>#N/A</v>
      </c>
      <c r="AF515" s="367" t="str">
        <f ca="1">IF(RawMaterials[[#This Row],[Lab Quote Count]]&gt;1,SLOPE(LOG(INDIRECT("RawMaterials[@[Lab Unit P 1]:[Lab Unit P "&amp;RawMaterials[[#This Row],[Lab Quote Count]]&amp;"]]")),LOG(INDIRECT("RawMaterials[@[Lab Q Model Units 1]:[Lab Q Model Units "&amp;RawMaterials[[#This Row],[Lab Quote Count]]&amp;"]]"))),"")</f>
        <v/>
      </c>
      <c r="AG515" s="367" t="str">
        <f ca="1">IF(RawMaterials[[#This Row],[Lab Quote Count]]&gt;1,INTERCEPT(LOG(INDIRECT("RawMaterials[@[Lab Unit P 1]:[Lab Unit P "&amp;RawMaterials[[#This Row],[Lab Quote Count]]&amp;"]]")),LOG(INDIRECT("RawMaterials[@[Lab Q Model Units 1]:[Lab Q Model Units "&amp;RawMaterials[[#This Row],[Lab Quote Count]]&amp;"]]"))),"")</f>
        <v/>
      </c>
      <c r="AH515" s="368" t="str">
        <f>IF(RawMaterials[[#This Row],[Material Type]]="Metal Precursor","D13",IF(RawMaterials[[#This Row],[Material Type]]="Ligand","D13","D12"))</f>
        <v>D12</v>
      </c>
      <c r="AI515" s="369" t="str">
        <f ca="1">IF(RawMaterials[[#This Row],[Lab Quote Count]]&gt;1,10^RawMaterials[[#This Row],[Lab Log-Log Intercept]]*INDIRECT(RawMaterials[[#This Row],[Basis Cell]])^RawMaterials[[#This Row],[Lab Log-Log Slope]],"&gt;&gt;&gt; Enter 2 or more lab quotes &lt;&lt;&lt;")</f>
        <v>&gt;&gt;&gt; Enter 2 or more lab quotes &lt;&lt;&lt;</v>
      </c>
      <c r="AJ5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6.15</v>
      </c>
      <c r="AL515" s="372">
        <f>IF(ISTEXT(RawMaterials[[#This Row],[Unit price in quote year]]),"Check calcs",RawMaterials[[#This Row],[Unit price in quote year]]/VLOOKUP(RawMaterials[[#This Row],[Quote Year]],ChemPPI[],14,FALSE)*VLOOKUP(BasisYear,ChemPPI[],14,FALSE))</f>
        <v>8.3468750000000025</v>
      </c>
      <c r="AM515" s="373" t="str">
        <f t="shared" si="7"/>
        <v>$/lb (2016)</v>
      </c>
    </row>
    <row r="516" spans="1:39">
      <c r="A516" s="263" t="s">
        <v>1611</v>
      </c>
      <c r="B516" s="264"/>
      <c r="C516" s="271"/>
      <c r="D516" s="365"/>
      <c r="E516" s="264">
        <v>100</v>
      </c>
      <c r="F516" s="264"/>
      <c r="G516" s="271"/>
      <c r="H516" s="271"/>
      <c r="I516" s="268"/>
      <c r="J516" s="271"/>
      <c r="K516" s="271"/>
      <c r="L516" s="271"/>
      <c r="M516" s="271"/>
      <c r="N516" s="271"/>
      <c r="O516" s="271"/>
      <c r="P516" s="265">
        <v>725</v>
      </c>
      <c r="Q516" s="264">
        <v>1</v>
      </c>
      <c r="R516" s="264" t="s">
        <v>406</v>
      </c>
      <c r="S516" s="264">
        <v>2006</v>
      </c>
      <c r="T516" s="266" t="s">
        <v>163</v>
      </c>
      <c r="U516" s="267">
        <v>42653</v>
      </c>
      <c r="V516" s="269"/>
      <c r="W516" s="366">
        <f>COUNT(RawMaterials[[#This Row],[Lab Quantity 1]:[Lab Quantity 4]])</f>
        <v>0</v>
      </c>
      <c r="X5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6" s="367" t="e">
        <f>RawMaterials[[#This Row],[Lab Price 1]]/RawMaterials[[#This Row],[Lab Q Model Units 1]]</f>
        <v>#N/A</v>
      </c>
      <c r="AC516" s="367" t="e">
        <f>RawMaterials[[#This Row],[Lab Price 2]]/RawMaterials[[#This Row],[Lab Q Model Units 2]]</f>
        <v>#N/A</v>
      </c>
      <c r="AD516" s="367" t="e">
        <f>RawMaterials[[#This Row],[Lab Price 3]]/RawMaterials[[#This Row],[Lab Q Model Units 3]]</f>
        <v>#N/A</v>
      </c>
      <c r="AE516" s="367" t="e">
        <f>RawMaterials[[#This Row],[Lab Price 4]]/RawMaterials[[#This Row],[Lab Q Model Units 4]]</f>
        <v>#N/A</v>
      </c>
      <c r="AF516" s="367" t="str">
        <f ca="1">IF(RawMaterials[[#This Row],[Lab Quote Count]]&gt;1,SLOPE(LOG(INDIRECT("RawMaterials[@[Lab Unit P 1]:[Lab Unit P "&amp;RawMaterials[[#This Row],[Lab Quote Count]]&amp;"]]")),LOG(INDIRECT("RawMaterials[@[Lab Q Model Units 1]:[Lab Q Model Units "&amp;RawMaterials[[#This Row],[Lab Quote Count]]&amp;"]]"))),"")</f>
        <v/>
      </c>
      <c r="AG516" s="367" t="str">
        <f ca="1">IF(RawMaterials[[#This Row],[Lab Quote Count]]&gt;1,INTERCEPT(LOG(INDIRECT("RawMaterials[@[Lab Unit P 1]:[Lab Unit P "&amp;RawMaterials[[#This Row],[Lab Quote Count]]&amp;"]]")),LOG(INDIRECT("RawMaterials[@[Lab Q Model Units 1]:[Lab Q Model Units "&amp;RawMaterials[[#This Row],[Lab Quote Count]]&amp;"]]"))),"")</f>
        <v/>
      </c>
      <c r="AH516" s="368" t="str">
        <f>IF(RawMaterials[[#This Row],[Material Type]]="Metal Precursor","D13",IF(RawMaterials[[#This Row],[Material Type]]="Ligand","D13","D12"))</f>
        <v>D12</v>
      </c>
      <c r="AI516" s="369" t="str">
        <f ca="1">IF(RawMaterials[[#This Row],[Lab Quote Count]]&gt;1,10^RawMaterials[[#This Row],[Lab Log-Log Intercept]]*INDIRECT(RawMaterials[[#This Row],[Basis Cell]])^RawMaterials[[#This Row],[Lab Log-Log Slope]],"&gt;&gt;&gt; Enter 2 or more lab quotes &lt;&lt;&lt;")</f>
        <v>&gt;&gt;&gt; Enter 2 or more lab quotes &lt;&lt;&lt;</v>
      </c>
      <c r="AJ5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0.36249999999999999</v>
      </c>
      <c r="AL516" s="372">
        <f>IF(ISTEXT(RawMaterials[[#This Row],[Unit price in quote year]]),"Check calcs",RawMaterials[[#This Row],[Unit price in quote year]]/VLOOKUP(RawMaterials[[#This Row],[Quote Year]],ChemPPI[],14,FALSE)*VLOOKUP(BasisYear,ChemPPI[],14,FALSE))</f>
        <v>0.491990599593496</v>
      </c>
      <c r="AM516" s="373" t="str">
        <f t="shared" si="7"/>
        <v>$/lb (2016)</v>
      </c>
    </row>
    <row r="517" spans="1:39">
      <c r="A517" s="263" t="s">
        <v>1612</v>
      </c>
      <c r="B517" s="264"/>
      <c r="C517" s="271"/>
      <c r="D517" s="365"/>
      <c r="E517" s="264">
        <v>100</v>
      </c>
      <c r="F517" s="264"/>
      <c r="G517" s="271"/>
      <c r="H517" s="271"/>
      <c r="I517" s="268"/>
      <c r="J517" s="271"/>
      <c r="K517" s="271"/>
      <c r="L517" s="271"/>
      <c r="M517" s="271"/>
      <c r="N517" s="271"/>
      <c r="O517" s="271"/>
      <c r="P517" s="265">
        <v>550</v>
      </c>
      <c r="Q517" s="264">
        <v>1</v>
      </c>
      <c r="R517" s="264" t="s">
        <v>406</v>
      </c>
      <c r="S517" s="264">
        <v>2006</v>
      </c>
      <c r="T517" s="266" t="s">
        <v>163</v>
      </c>
      <c r="U517" s="267">
        <v>42653</v>
      </c>
      <c r="V517" s="269"/>
      <c r="W517" s="366">
        <f>COUNT(RawMaterials[[#This Row],[Lab Quantity 1]:[Lab Quantity 4]])</f>
        <v>0</v>
      </c>
      <c r="X5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7" s="367" t="e">
        <f>RawMaterials[[#This Row],[Lab Price 1]]/RawMaterials[[#This Row],[Lab Q Model Units 1]]</f>
        <v>#N/A</v>
      </c>
      <c r="AC517" s="367" t="e">
        <f>RawMaterials[[#This Row],[Lab Price 2]]/RawMaterials[[#This Row],[Lab Q Model Units 2]]</f>
        <v>#N/A</v>
      </c>
      <c r="AD517" s="367" t="e">
        <f>RawMaterials[[#This Row],[Lab Price 3]]/RawMaterials[[#This Row],[Lab Q Model Units 3]]</f>
        <v>#N/A</v>
      </c>
      <c r="AE517" s="367" t="e">
        <f>RawMaterials[[#This Row],[Lab Price 4]]/RawMaterials[[#This Row],[Lab Q Model Units 4]]</f>
        <v>#N/A</v>
      </c>
      <c r="AF517" s="367" t="str">
        <f ca="1">IF(RawMaterials[[#This Row],[Lab Quote Count]]&gt;1,SLOPE(LOG(INDIRECT("RawMaterials[@[Lab Unit P 1]:[Lab Unit P "&amp;RawMaterials[[#This Row],[Lab Quote Count]]&amp;"]]")),LOG(INDIRECT("RawMaterials[@[Lab Q Model Units 1]:[Lab Q Model Units "&amp;RawMaterials[[#This Row],[Lab Quote Count]]&amp;"]]"))),"")</f>
        <v/>
      </c>
      <c r="AG517" s="367" t="str">
        <f ca="1">IF(RawMaterials[[#This Row],[Lab Quote Count]]&gt;1,INTERCEPT(LOG(INDIRECT("RawMaterials[@[Lab Unit P 1]:[Lab Unit P "&amp;RawMaterials[[#This Row],[Lab Quote Count]]&amp;"]]")),LOG(INDIRECT("RawMaterials[@[Lab Q Model Units 1]:[Lab Q Model Units "&amp;RawMaterials[[#This Row],[Lab Quote Count]]&amp;"]]"))),"")</f>
        <v/>
      </c>
      <c r="AH517" s="368" t="str">
        <f>IF(RawMaterials[[#This Row],[Material Type]]="Metal Precursor","D13",IF(RawMaterials[[#This Row],[Material Type]]="Ligand","D13","D12"))</f>
        <v>D12</v>
      </c>
      <c r="AI517" s="369" t="str">
        <f ca="1">IF(RawMaterials[[#This Row],[Lab Quote Count]]&gt;1,10^RawMaterials[[#This Row],[Lab Log-Log Intercept]]*INDIRECT(RawMaterials[[#This Row],[Basis Cell]])^RawMaterials[[#This Row],[Lab Log-Log Slope]],"&gt;&gt;&gt; Enter 2 or more lab quotes &lt;&lt;&lt;")</f>
        <v>&gt;&gt;&gt; Enter 2 or more lab quotes &lt;&lt;&lt;</v>
      </c>
      <c r="AJ5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0.27500000000000002</v>
      </c>
      <c r="AL517" s="372">
        <f>IF(ISTEXT(RawMaterials[[#This Row],[Unit price in quote year]]),"Check calcs",RawMaterials[[#This Row],[Unit price in quote year]]/VLOOKUP(RawMaterials[[#This Row],[Quote Year]],ChemPPI[],14,FALSE)*VLOOKUP(BasisYear,ChemPPI[],14,FALSE))</f>
        <v>0.37323424796747978</v>
      </c>
      <c r="AM517" s="373" t="str">
        <f t="shared" si="7"/>
        <v>$/lb (2016)</v>
      </c>
    </row>
    <row r="518" spans="1:39">
      <c r="A518" s="263" t="s">
        <v>1613</v>
      </c>
      <c r="B518" s="264"/>
      <c r="C518" s="271"/>
      <c r="D518" s="365"/>
      <c r="E518" s="264">
        <v>100</v>
      </c>
      <c r="F518" s="264"/>
      <c r="G518" s="271"/>
      <c r="H518" s="271"/>
      <c r="I518" s="268"/>
      <c r="J518" s="271"/>
      <c r="K518" s="271"/>
      <c r="L518" s="271"/>
      <c r="M518" s="271"/>
      <c r="N518" s="271"/>
      <c r="O518" s="271"/>
      <c r="P518" s="265">
        <v>0.64999999999999902</v>
      </c>
      <c r="Q518" s="264">
        <v>1</v>
      </c>
      <c r="R518" s="264" t="s">
        <v>20</v>
      </c>
      <c r="S518" s="264">
        <v>2006</v>
      </c>
      <c r="T518" s="266" t="s">
        <v>163</v>
      </c>
      <c r="U518" s="267">
        <v>42653</v>
      </c>
      <c r="V518" s="269"/>
      <c r="W518" s="366">
        <f>COUNT(RawMaterials[[#This Row],[Lab Quantity 1]:[Lab Quantity 4]])</f>
        <v>0</v>
      </c>
      <c r="X5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8" s="367" t="e">
        <f>RawMaterials[[#This Row],[Lab Price 1]]/RawMaterials[[#This Row],[Lab Q Model Units 1]]</f>
        <v>#N/A</v>
      </c>
      <c r="AC518" s="367" t="e">
        <f>RawMaterials[[#This Row],[Lab Price 2]]/RawMaterials[[#This Row],[Lab Q Model Units 2]]</f>
        <v>#N/A</v>
      </c>
      <c r="AD518" s="367" t="e">
        <f>RawMaterials[[#This Row],[Lab Price 3]]/RawMaterials[[#This Row],[Lab Q Model Units 3]]</f>
        <v>#N/A</v>
      </c>
      <c r="AE518" s="367" t="e">
        <f>RawMaterials[[#This Row],[Lab Price 4]]/RawMaterials[[#This Row],[Lab Q Model Units 4]]</f>
        <v>#N/A</v>
      </c>
      <c r="AF518" s="367" t="str">
        <f ca="1">IF(RawMaterials[[#This Row],[Lab Quote Count]]&gt;1,SLOPE(LOG(INDIRECT("RawMaterials[@[Lab Unit P 1]:[Lab Unit P "&amp;RawMaterials[[#This Row],[Lab Quote Count]]&amp;"]]")),LOG(INDIRECT("RawMaterials[@[Lab Q Model Units 1]:[Lab Q Model Units "&amp;RawMaterials[[#This Row],[Lab Quote Count]]&amp;"]]"))),"")</f>
        <v/>
      </c>
      <c r="AG518" s="367" t="str">
        <f ca="1">IF(RawMaterials[[#This Row],[Lab Quote Count]]&gt;1,INTERCEPT(LOG(INDIRECT("RawMaterials[@[Lab Unit P 1]:[Lab Unit P "&amp;RawMaterials[[#This Row],[Lab Quote Count]]&amp;"]]")),LOG(INDIRECT("RawMaterials[@[Lab Q Model Units 1]:[Lab Q Model Units "&amp;RawMaterials[[#This Row],[Lab Quote Count]]&amp;"]]"))),"")</f>
        <v/>
      </c>
      <c r="AH518" s="368" t="str">
        <f>IF(RawMaterials[[#This Row],[Material Type]]="Metal Precursor","D13",IF(RawMaterials[[#This Row],[Material Type]]="Ligand","D13","D12"))</f>
        <v>D12</v>
      </c>
      <c r="AI518" s="369" t="str">
        <f ca="1">IF(RawMaterials[[#This Row],[Lab Quote Count]]&gt;1,10^RawMaterials[[#This Row],[Lab Log-Log Intercept]]*INDIRECT(RawMaterials[[#This Row],[Basis Cell]])^RawMaterials[[#This Row],[Lab Log-Log Slope]],"&gt;&gt;&gt; Enter 2 or more lab quotes &lt;&lt;&lt;")</f>
        <v>&gt;&gt;&gt; Enter 2 or more lab quotes &lt;&lt;&lt;</v>
      </c>
      <c r="AJ5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0.64999999999999902</v>
      </c>
      <c r="AL518" s="372">
        <f>IF(ISTEXT(RawMaterials[[#This Row],[Unit price in quote year]]),"Check calcs",RawMaterials[[#This Row],[Unit price in quote year]]/VLOOKUP(RawMaterials[[#This Row],[Quote Year]],ChemPPI[],14,FALSE)*VLOOKUP(BasisYear,ChemPPI[],14,FALSE))</f>
        <v>0.8821900406504054</v>
      </c>
      <c r="AM518" s="373" t="str">
        <f t="shared" si="7"/>
        <v>$/lb (2016)</v>
      </c>
    </row>
    <row r="519" spans="1:39">
      <c r="A519" s="263" t="s">
        <v>1614</v>
      </c>
      <c r="B519" s="264"/>
      <c r="C519" s="271"/>
      <c r="D519" s="365"/>
      <c r="E519" s="264">
        <v>100</v>
      </c>
      <c r="F519" s="264"/>
      <c r="G519" s="271"/>
      <c r="H519" s="271"/>
      <c r="I519" s="268"/>
      <c r="J519" s="271"/>
      <c r="K519" s="271"/>
      <c r="L519" s="271"/>
      <c r="M519" s="271"/>
      <c r="N519" s="271"/>
      <c r="O519" s="271"/>
      <c r="P519" s="265">
        <v>1.85</v>
      </c>
      <c r="Q519" s="264">
        <v>1</v>
      </c>
      <c r="R519" s="264" t="s">
        <v>20</v>
      </c>
      <c r="S519" s="264">
        <v>2006</v>
      </c>
      <c r="T519" s="266" t="s">
        <v>163</v>
      </c>
      <c r="U519" s="267">
        <v>42653</v>
      </c>
      <c r="V519" s="269"/>
      <c r="W519" s="366">
        <f>COUNT(RawMaterials[[#This Row],[Lab Quantity 1]:[Lab Quantity 4]])</f>
        <v>0</v>
      </c>
      <c r="X5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19" s="367" t="e">
        <f>RawMaterials[[#This Row],[Lab Price 1]]/RawMaterials[[#This Row],[Lab Q Model Units 1]]</f>
        <v>#N/A</v>
      </c>
      <c r="AC519" s="367" t="e">
        <f>RawMaterials[[#This Row],[Lab Price 2]]/RawMaterials[[#This Row],[Lab Q Model Units 2]]</f>
        <v>#N/A</v>
      </c>
      <c r="AD519" s="367" t="e">
        <f>RawMaterials[[#This Row],[Lab Price 3]]/RawMaterials[[#This Row],[Lab Q Model Units 3]]</f>
        <v>#N/A</v>
      </c>
      <c r="AE519" s="367" t="e">
        <f>RawMaterials[[#This Row],[Lab Price 4]]/RawMaterials[[#This Row],[Lab Q Model Units 4]]</f>
        <v>#N/A</v>
      </c>
      <c r="AF519" s="367" t="str">
        <f ca="1">IF(RawMaterials[[#This Row],[Lab Quote Count]]&gt;1,SLOPE(LOG(INDIRECT("RawMaterials[@[Lab Unit P 1]:[Lab Unit P "&amp;RawMaterials[[#This Row],[Lab Quote Count]]&amp;"]]")),LOG(INDIRECT("RawMaterials[@[Lab Q Model Units 1]:[Lab Q Model Units "&amp;RawMaterials[[#This Row],[Lab Quote Count]]&amp;"]]"))),"")</f>
        <v/>
      </c>
      <c r="AG519" s="367" t="str">
        <f ca="1">IF(RawMaterials[[#This Row],[Lab Quote Count]]&gt;1,INTERCEPT(LOG(INDIRECT("RawMaterials[@[Lab Unit P 1]:[Lab Unit P "&amp;RawMaterials[[#This Row],[Lab Quote Count]]&amp;"]]")),LOG(INDIRECT("RawMaterials[@[Lab Q Model Units 1]:[Lab Q Model Units "&amp;RawMaterials[[#This Row],[Lab Quote Count]]&amp;"]]"))),"")</f>
        <v/>
      </c>
      <c r="AH519" s="368" t="str">
        <f>IF(RawMaterials[[#This Row],[Material Type]]="Metal Precursor","D13",IF(RawMaterials[[#This Row],[Material Type]]="Ligand","D13","D12"))</f>
        <v>D12</v>
      </c>
      <c r="AI519" s="369" t="str">
        <f ca="1">IF(RawMaterials[[#This Row],[Lab Quote Count]]&gt;1,10^RawMaterials[[#This Row],[Lab Log-Log Intercept]]*INDIRECT(RawMaterials[[#This Row],[Basis Cell]])^RawMaterials[[#This Row],[Lab Log-Log Slope]],"&gt;&gt;&gt; Enter 2 or more lab quotes &lt;&lt;&lt;")</f>
        <v>&gt;&gt;&gt; Enter 2 or more lab quotes &lt;&lt;&lt;</v>
      </c>
      <c r="AJ5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1.85</v>
      </c>
      <c r="AL519" s="372">
        <f>IF(ISTEXT(RawMaterials[[#This Row],[Unit price in quote year]]),"Check calcs",RawMaterials[[#This Row],[Unit price in quote year]]/VLOOKUP(RawMaterials[[#This Row],[Quote Year]],ChemPPI[],14,FALSE)*VLOOKUP(BasisYear,ChemPPI[],14,FALSE))</f>
        <v>2.5108485772357727</v>
      </c>
      <c r="AM519" s="373" t="str">
        <f t="shared" si="7"/>
        <v>$/lb (2016)</v>
      </c>
    </row>
    <row r="520" spans="1:39">
      <c r="A520" s="263" t="s">
        <v>1615</v>
      </c>
      <c r="B520" s="264"/>
      <c r="C520" s="271"/>
      <c r="D520" s="365"/>
      <c r="E520" s="264">
        <v>100</v>
      </c>
      <c r="F520" s="264"/>
      <c r="G520" s="271"/>
      <c r="H520" s="271"/>
      <c r="I520" s="268"/>
      <c r="J520" s="271"/>
      <c r="K520" s="271"/>
      <c r="L520" s="271"/>
      <c r="M520" s="271"/>
      <c r="N520" s="271"/>
      <c r="O520" s="271"/>
      <c r="P520" s="265">
        <v>79.25</v>
      </c>
      <c r="Q520" s="264">
        <v>100</v>
      </c>
      <c r="R520" s="264" t="s">
        <v>20</v>
      </c>
      <c r="S520" s="264">
        <v>2006</v>
      </c>
      <c r="T520" s="266" t="s">
        <v>163</v>
      </c>
      <c r="U520" s="267">
        <v>42653</v>
      </c>
      <c r="V520" s="269"/>
      <c r="W520" s="366">
        <f>COUNT(RawMaterials[[#This Row],[Lab Quantity 1]:[Lab Quantity 4]])</f>
        <v>0</v>
      </c>
      <c r="X5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0" s="367" t="e">
        <f>RawMaterials[[#This Row],[Lab Price 1]]/RawMaterials[[#This Row],[Lab Q Model Units 1]]</f>
        <v>#N/A</v>
      </c>
      <c r="AC520" s="367" t="e">
        <f>RawMaterials[[#This Row],[Lab Price 2]]/RawMaterials[[#This Row],[Lab Q Model Units 2]]</f>
        <v>#N/A</v>
      </c>
      <c r="AD520" s="367" t="e">
        <f>RawMaterials[[#This Row],[Lab Price 3]]/RawMaterials[[#This Row],[Lab Q Model Units 3]]</f>
        <v>#N/A</v>
      </c>
      <c r="AE520" s="367" t="e">
        <f>RawMaterials[[#This Row],[Lab Price 4]]/RawMaterials[[#This Row],[Lab Q Model Units 4]]</f>
        <v>#N/A</v>
      </c>
      <c r="AF520" s="367" t="str">
        <f ca="1">IF(RawMaterials[[#This Row],[Lab Quote Count]]&gt;1,SLOPE(LOG(INDIRECT("RawMaterials[@[Lab Unit P 1]:[Lab Unit P "&amp;RawMaterials[[#This Row],[Lab Quote Count]]&amp;"]]")),LOG(INDIRECT("RawMaterials[@[Lab Q Model Units 1]:[Lab Q Model Units "&amp;RawMaterials[[#This Row],[Lab Quote Count]]&amp;"]]"))),"")</f>
        <v/>
      </c>
      <c r="AG520" s="367" t="str">
        <f ca="1">IF(RawMaterials[[#This Row],[Lab Quote Count]]&gt;1,INTERCEPT(LOG(INDIRECT("RawMaterials[@[Lab Unit P 1]:[Lab Unit P "&amp;RawMaterials[[#This Row],[Lab Quote Count]]&amp;"]]")),LOG(INDIRECT("RawMaterials[@[Lab Q Model Units 1]:[Lab Q Model Units "&amp;RawMaterials[[#This Row],[Lab Quote Count]]&amp;"]]"))),"")</f>
        <v/>
      </c>
      <c r="AH520" s="368" t="str">
        <f>IF(RawMaterials[[#This Row],[Material Type]]="Metal Precursor","D13",IF(RawMaterials[[#This Row],[Material Type]]="Ligand","D13","D12"))</f>
        <v>D12</v>
      </c>
      <c r="AI520" s="369" t="str">
        <f ca="1">IF(RawMaterials[[#This Row],[Lab Quote Count]]&gt;1,10^RawMaterials[[#This Row],[Lab Log-Log Intercept]]*INDIRECT(RawMaterials[[#This Row],[Basis Cell]])^RawMaterials[[#This Row],[Lab Log-Log Slope]],"&gt;&gt;&gt; Enter 2 or more lab quotes &lt;&lt;&lt;")</f>
        <v>&gt;&gt;&gt; Enter 2 or more lab quotes &lt;&lt;&lt;</v>
      </c>
      <c r="AJ5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0.79249999999999998</v>
      </c>
      <c r="AL520" s="372">
        <f>IF(ISTEXT(RawMaterials[[#This Row],[Unit price in quote year]]),"Check calcs",RawMaterials[[#This Row],[Unit price in quote year]]/VLOOKUP(RawMaterials[[#This Row],[Quote Year]],ChemPPI[],14,FALSE)*VLOOKUP(BasisYear,ChemPPI[],14,FALSE))</f>
        <v>1.075593241869919</v>
      </c>
      <c r="AM520" s="373" t="str">
        <f t="shared" si="7"/>
        <v>$/lb (2016)</v>
      </c>
    </row>
    <row r="521" spans="1:39">
      <c r="A521" s="263" t="s">
        <v>1616</v>
      </c>
      <c r="B521" s="264"/>
      <c r="C521" s="271"/>
      <c r="D521" s="365"/>
      <c r="E521" s="264">
        <v>100</v>
      </c>
      <c r="F521" s="264"/>
      <c r="G521" s="271"/>
      <c r="H521" s="271"/>
      <c r="I521" s="268"/>
      <c r="J521" s="271"/>
      <c r="K521" s="271"/>
      <c r="L521" s="271"/>
      <c r="M521" s="271"/>
      <c r="N521" s="271"/>
      <c r="O521" s="271"/>
      <c r="P521" s="265">
        <v>76.25</v>
      </c>
      <c r="Q521" s="264">
        <v>100</v>
      </c>
      <c r="R521" s="264" t="s">
        <v>20</v>
      </c>
      <c r="S521" s="264">
        <v>2006</v>
      </c>
      <c r="T521" s="266" t="s">
        <v>163</v>
      </c>
      <c r="U521" s="267">
        <v>42653</v>
      </c>
      <c r="V521" s="269"/>
      <c r="W521" s="366">
        <f>COUNT(RawMaterials[[#This Row],[Lab Quantity 1]:[Lab Quantity 4]])</f>
        <v>0</v>
      </c>
      <c r="X5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1" s="367" t="e">
        <f>RawMaterials[[#This Row],[Lab Price 1]]/RawMaterials[[#This Row],[Lab Q Model Units 1]]</f>
        <v>#N/A</v>
      </c>
      <c r="AC521" s="367" t="e">
        <f>RawMaterials[[#This Row],[Lab Price 2]]/RawMaterials[[#This Row],[Lab Q Model Units 2]]</f>
        <v>#N/A</v>
      </c>
      <c r="AD521" s="367" t="e">
        <f>RawMaterials[[#This Row],[Lab Price 3]]/RawMaterials[[#This Row],[Lab Q Model Units 3]]</f>
        <v>#N/A</v>
      </c>
      <c r="AE521" s="367" t="e">
        <f>RawMaterials[[#This Row],[Lab Price 4]]/RawMaterials[[#This Row],[Lab Q Model Units 4]]</f>
        <v>#N/A</v>
      </c>
      <c r="AF521" s="367" t="str">
        <f ca="1">IF(RawMaterials[[#This Row],[Lab Quote Count]]&gt;1,SLOPE(LOG(INDIRECT("RawMaterials[@[Lab Unit P 1]:[Lab Unit P "&amp;RawMaterials[[#This Row],[Lab Quote Count]]&amp;"]]")),LOG(INDIRECT("RawMaterials[@[Lab Q Model Units 1]:[Lab Q Model Units "&amp;RawMaterials[[#This Row],[Lab Quote Count]]&amp;"]]"))),"")</f>
        <v/>
      </c>
      <c r="AG521" s="367" t="str">
        <f ca="1">IF(RawMaterials[[#This Row],[Lab Quote Count]]&gt;1,INTERCEPT(LOG(INDIRECT("RawMaterials[@[Lab Unit P 1]:[Lab Unit P "&amp;RawMaterials[[#This Row],[Lab Quote Count]]&amp;"]]")),LOG(INDIRECT("RawMaterials[@[Lab Q Model Units 1]:[Lab Q Model Units "&amp;RawMaterials[[#This Row],[Lab Quote Count]]&amp;"]]"))),"")</f>
        <v/>
      </c>
      <c r="AH521" s="368" t="str">
        <f>IF(RawMaterials[[#This Row],[Material Type]]="Metal Precursor","D13",IF(RawMaterials[[#This Row],[Material Type]]="Ligand","D13","D12"))</f>
        <v>D12</v>
      </c>
      <c r="AI521" s="369" t="str">
        <f ca="1">IF(RawMaterials[[#This Row],[Lab Quote Count]]&gt;1,10^RawMaterials[[#This Row],[Lab Log-Log Intercept]]*INDIRECT(RawMaterials[[#This Row],[Basis Cell]])^RawMaterials[[#This Row],[Lab Log-Log Slope]],"&gt;&gt;&gt; Enter 2 or more lab quotes &lt;&lt;&lt;")</f>
        <v>&gt;&gt;&gt; Enter 2 or more lab quotes &lt;&lt;&lt;</v>
      </c>
      <c r="AJ5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0.76249999999999996</v>
      </c>
      <c r="AL521" s="372">
        <f>IF(ISTEXT(RawMaterials[[#This Row],[Unit price in quote year]]),"Check calcs",RawMaterials[[#This Row],[Unit price in quote year]]/VLOOKUP(RawMaterials[[#This Row],[Quote Year]],ChemPPI[],14,FALSE)*VLOOKUP(BasisYear,ChemPPI[],14,FALSE))</f>
        <v>1.0348767784552848</v>
      </c>
      <c r="AM521" s="373" t="str">
        <f t="shared" si="7"/>
        <v>$/lb (2016)</v>
      </c>
    </row>
    <row r="522" spans="1:39">
      <c r="A522" s="263" t="s">
        <v>1617</v>
      </c>
      <c r="B522" s="264"/>
      <c r="C522" s="271"/>
      <c r="D522" s="365"/>
      <c r="E522" s="264">
        <v>100</v>
      </c>
      <c r="F522" s="264"/>
      <c r="G522" s="271"/>
      <c r="H522" s="271"/>
      <c r="I522" s="268"/>
      <c r="J522" s="271"/>
      <c r="K522" s="271"/>
      <c r="L522" s="271"/>
      <c r="M522" s="271"/>
      <c r="N522" s="271"/>
      <c r="O522" s="271"/>
      <c r="P522" s="265">
        <v>81.5</v>
      </c>
      <c r="Q522" s="264">
        <v>100</v>
      </c>
      <c r="R522" s="264" t="s">
        <v>20</v>
      </c>
      <c r="S522" s="264">
        <v>2006</v>
      </c>
      <c r="T522" s="266" t="s">
        <v>163</v>
      </c>
      <c r="U522" s="267">
        <v>42653</v>
      </c>
      <c r="V522" s="269"/>
      <c r="W522" s="366">
        <f>COUNT(RawMaterials[[#This Row],[Lab Quantity 1]:[Lab Quantity 4]])</f>
        <v>0</v>
      </c>
      <c r="X52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2" s="367" t="e">
        <f>RawMaterials[[#This Row],[Lab Price 1]]/RawMaterials[[#This Row],[Lab Q Model Units 1]]</f>
        <v>#N/A</v>
      </c>
      <c r="AC522" s="367" t="e">
        <f>RawMaterials[[#This Row],[Lab Price 2]]/RawMaterials[[#This Row],[Lab Q Model Units 2]]</f>
        <v>#N/A</v>
      </c>
      <c r="AD522" s="367" t="e">
        <f>RawMaterials[[#This Row],[Lab Price 3]]/RawMaterials[[#This Row],[Lab Q Model Units 3]]</f>
        <v>#N/A</v>
      </c>
      <c r="AE522" s="367" t="e">
        <f>RawMaterials[[#This Row],[Lab Price 4]]/RawMaterials[[#This Row],[Lab Q Model Units 4]]</f>
        <v>#N/A</v>
      </c>
      <c r="AF522" s="367" t="str">
        <f ca="1">IF(RawMaterials[[#This Row],[Lab Quote Count]]&gt;1,SLOPE(LOG(INDIRECT("RawMaterials[@[Lab Unit P 1]:[Lab Unit P "&amp;RawMaterials[[#This Row],[Lab Quote Count]]&amp;"]]")),LOG(INDIRECT("RawMaterials[@[Lab Q Model Units 1]:[Lab Q Model Units "&amp;RawMaterials[[#This Row],[Lab Quote Count]]&amp;"]]"))),"")</f>
        <v/>
      </c>
      <c r="AG522" s="367" t="str">
        <f ca="1">IF(RawMaterials[[#This Row],[Lab Quote Count]]&gt;1,INTERCEPT(LOG(INDIRECT("RawMaterials[@[Lab Unit P 1]:[Lab Unit P "&amp;RawMaterials[[#This Row],[Lab Quote Count]]&amp;"]]")),LOG(INDIRECT("RawMaterials[@[Lab Q Model Units 1]:[Lab Q Model Units "&amp;RawMaterials[[#This Row],[Lab Quote Count]]&amp;"]]"))),"")</f>
        <v/>
      </c>
      <c r="AH522" s="368" t="str">
        <f>IF(RawMaterials[[#This Row],[Material Type]]="Metal Precursor","D13",IF(RawMaterials[[#This Row],[Material Type]]="Ligand","D13","D12"))</f>
        <v>D12</v>
      </c>
      <c r="AI522" s="369" t="str">
        <f ca="1">IF(RawMaterials[[#This Row],[Lab Quote Count]]&gt;1,10^RawMaterials[[#This Row],[Lab Log-Log Intercept]]*INDIRECT(RawMaterials[[#This Row],[Basis Cell]])^RawMaterials[[#This Row],[Lab Log-Log Slope]],"&gt;&gt;&gt; Enter 2 or more lab quotes &lt;&lt;&lt;")</f>
        <v>&gt;&gt;&gt; Enter 2 or more lab quotes &lt;&lt;&lt;</v>
      </c>
      <c r="AJ52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0.81499999999999995</v>
      </c>
      <c r="AL522" s="372">
        <f>IF(ISTEXT(RawMaterials[[#This Row],[Unit price in quote year]]),"Check calcs",RawMaterials[[#This Row],[Unit price in quote year]]/VLOOKUP(RawMaterials[[#This Row],[Quote Year]],ChemPPI[],14,FALSE)*VLOOKUP(BasisYear,ChemPPI[],14,FALSE))</f>
        <v>1.1061305894308946</v>
      </c>
      <c r="AM522" s="373" t="str">
        <f t="shared" si="7"/>
        <v>$/lb (2016)</v>
      </c>
    </row>
    <row r="523" spans="1:39">
      <c r="A523" s="263" t="s">
        <v>1618</v>
      </c>
      <c r="B523" s="264"/>
      <c r="C523" s="271"/>
      <c r="D523" s="365"/>
      <c r="E523" s="264">
        <v>100</v>
      </c>
      <c r="F523" s="264"/>
      <c r="G523" s="271"/>
      <c r="H523" s="271"/>
      <c r="I523" s="268"/>
      <c r="J523" s="271"/>
      <c r="K523" s="271"/>
      <c r="L523" s="271"/>
      <c r="M523" s="271"/>
      <c r="N523" s="271"/>
      <c r="O523" s="271"/>
      <c r="P523" s="265">
        <v>84</v>
      </c>
      <c r="Q523" s="264">
        <v>100</v>
      </c>
      <c r="R523" s="264" t="s">
        <v>20</v>
      </c>
      <c r="S523" s="264">
        <v>2006</v>
      </c>
      <c r="T523" s="266" t="s">
        <v>163</v>
      </c>
      <c r="U523" s="267">
        <v>42653</v>
      </c>
      <c r="V523" s="269"/>
      <c r="W523" s="366">
        <f>COUNT(RawMaterials[[#This Row],[Lab Quantity 1]:[Lab Quantity 4]])</f>
        <v>0</v>
      </c>
      <c r="X52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3" s="367" t="e">
        <f>RawMaterials[[#This Row],[Lab Price 1]]/RawMaterials[[#This Row],[Lab Q Model Units 1]]</f>
        <v>#N/A</v>
      </c>
      <c r="AC523" s="367" t="e">
        <f>RawMaterials[[#This Row],[Lab Price 2]]/RawMaterials[[#This Row],[Lab Q Model Units 2]]</f>
        <v>#N/A</v>
      </c>
      <c r="AD523" s="367" t="e">
        <f>RawMaterials[[#This Row],[Lab Price 3]]/RawMaterials[[#This Row],[Lab Q Model Units 3]]</f>
        <v>#N/A</v>
      </c>
      <c r="AE523" s="367" t="e">
        <f>RawMaterials[[#This Row],[Lab Price 4]]/RawMaterials[[#This Row],[Lab Q Model Units 4]]</f>
        <v>#N/A</v>
      </c>
      <c r="AF523" s="367" t="str">
        <f ca="1">IF(RawMaterials[[#This Row],[Lab Quote Count]]&gt;1,SLOPE(LOG(INDIRECT("RawMaterials[@[Lab Unit P 1]:[Lab Unit P "&amp;RawMaterials[[#This Row],[Lab Quote Count]]&amp;"]]")),LOG(INDIRECT("RawMaterials[@[Lab Q Model Units 1]:[Lab Q Model Units "&amp;RawMaterials[[#This Row],[Lab Quote Count]]&amp;"]]"))),"")</f>
        <v/>
      </c>
      <c r="AG523" s="367" t="str">
        <f ca="1">IF(RawMaterials[[#This Row],[Lab Quote Count]]&gt;1,INTERCEPT(LOG(INDIRECT("RawMaterials[@[Lab Unit P 1]:[Lab Unit P "&amp;RawMaterials[[#This Row],[Lab Quote Count]]&amp;"]]")),LOG(INDIRECT("RawMaterials[@[Lab Q Model Units 1]:[Lab Q Model Units "&amp;RawMaterials[[#This Row],[Lab Quote Count]]&amp;"]]"))),"")</f>
        <v/>
      </c>
      <c r="AH523" s="368" t="str">
        <f>IF(RawMaterials[[#This Row],[Material Type]]="Metal Precursor","D13",IF(RawMaterials[[#This Row],[Material Type]]="Ligand","D13","D12"))</f>
        <v>D12</v>
      </c>
      <c r="AI523" s="369" t="str">
        <f ca="1">IF(RawMaterials[[#This Row],[Lab Quote Count]]&gt;1,10^RawMaterials[[#This Row],[Lab Log-Log Intercept]]*INDIRECT(RawMaterials[[#This Row],[Basis Cell]])^RawMaterials[[#This Row],[Lab Log-Log Slope]],"&gt;&gt;&gt; Enter 2 or more lab quotes &lt;&lt;&lt;")</f>
        <v>&gt;&gt;&gt; Enter 2 or more lab quotes &lt;&lt;&lt;</v>
      </c>
      <c r="AJ52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0.84</v>
      </c>
      <c r="AL523" s="372">
        <f>IF(ISTEXT(RawMaterials[[#This Row],[Unit price in quote year]]),"Check calcs",RawMaterials[[#This Row],[Unit price in quote year]]/VLOOKUP(RawMaterials[[#This Row],[Quote Year]],ChemPPI[],14,FALSE)*VLOOKUP(BasisYear,ChemPPI[],14,FALSE))</f>
        <v>1.1400609756097564</v>
      </c>
      <c r="AM523" s="373" t="str">
        <f t="shared" si="7"/>
        <v>$/lb (2016)</v>
      </c>
    </row>
    <row r="524" spans="1:39">
      <c r="A524" s="263" t="s">
        <v>1619</v>
      </c>
      <c r="B524" s="264"/>
      <c r="C524" s="271"/>
      <c r="D524" s="365"/>
      <c r="E524" s="264">
        <v>100</v>
      </c>
      <c r="F524" s="264"/>
      <c r="G524" s="271"/>
      <c r="H524" s="271"/>
      <c r="I524" s="268"/>
      <c r="J524" s="271"/>
      <c r="K524" s="271"/>
      <c r="L524" s="271"/>
      <c r="M524" s="271"/>
      <c r="N524" s="271"/>
      <c r="O524" s="271"/>
      <c r="P524" s="265">
        <v>80.5</v>
      </c>
      <c r="Q524" s="264">
        <v>100</v>
      </c>
      <c r="R524" s="264" t="s">
        <v>20</v>
      </c>
      <c r="S524" s="264">
        <v>2006</v>
      </c>
      <c r="T524" s="266" t="s">
        <v>163</v>
      </c>
      <c r="U524" s="267">
        <v>42653</v>
      </c>
      <c r="V524" s="269"/>
      <c r="W524" s="366">
        <f>COUNT(RawMaterials[[#This Row],[Lab Quantity 1]:[Lab Quantity 4]])</f>
        <v>0</v>
      </c>
      <c r="X52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4" s="367" t="e">
        <f>RawMaterials[[#This Row],[Lab Price 1]]/RawMaterials[[#This Row],[Lab Q Model Units 1]]</f>
        <v>#N/A</v>
      </c>
      <c r="AC524" s="367" t="e">
        <f>RawMaterials[[#This Row],[Lab Price 2]]/RawMaterials[[#This Row],[Lab Q Model Units 2]]</f>
        <v>#N/A</v>
      </c>
      <c r="AD524" s="367" t="e">
        <f>RawMaterials[[#This Row],[Lab Price 3]]/RawMaterials[[#This Row],[Lab Q Model Units 3]]</f>
        <v>#N/A</v>
      </c>
      <c r="AE524" s="367" t="e">
        <f>RawMaterials[[#This Row],[Lab Price 4]]/RawMaterials[[#This Row],[Lab Q Model Units 4]]</f>
        <v>#N/A</v>
      </c>
      <c r="AF524" s="367" t="str">
        <f ca="1">IF(RawMaterials[[#This Row],[Lab Quote Count]]&gt;1,SLOPE(LOG(INDIRECT("RawMaterials[@[Lab Unit P 1]:[Lab Unit P "&amp;RawMaterials[[#This Row],[Lab Quote Count]]&amp;"]]")),LOG(INDIRECT("RawMaterials[@[Lab Q Model Units 1]:[Lab Q Model Units "&amp;RawMaterials[[#This Row],[Lab Quote Count]]&amp;"]]"))),"")</f>
        <v/>
      </c>
      <c r="AG524" s="367" t="str">
        <f ca="1">IF(RawMaterials[[#This Row],[Lab Quote Count]]&gt;1,INTERCEPT(LOG(INDIRECT("RawMaterials[@[Lab Unit P 1]:[Lab Unit P "&amp;RawMaterials[[#This Row],[Lab Quote Count]]&amp;"]]")),LOG(INDIRECT("RawMaterials[@[Lab Q Model Units 1]:[Lab Q Model Units "&amp;RawMaterials[[#This Row],[Lab Quote Count]]&amp;"]]"))),"")</f>
        <v/>
      </c>
      <c r="AH524" s="368" t="str">
        <f>IF(RawMaterials[[#This Row],[Material Type]]="Metal Precursor","D13",IF(RawMaterials[[#This Row],[Material Type]]="Ligand","D13","D12"))</f>
        <v>D12</v>
      </c>
      <c r="AI524" s="369" t="str">
        <f ca="1">IF(RawMaterials[[#This Row],[Lab Quote Count]]&gt;1,10^RawMaterials[[#This Row],[Lab Log-Log Intercept]]*INDIRECT(RawMaterials[[#This Row],[Basis Cell]])^RawMaterials[[#This Row],[Lab Log-Log Slope]],"&gt;&gt;&gt; Enter 2 or more lab quotes &lt;&lt;&lt;")</f>
        <v>&gt;&gt;&gt; Enter 2 or more lab quotes &lt;&lt;&lt;</v>
      </c>
      <c r="AJ52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0.80500000000000005</v>
      </c>
      <c r="AL524" s="372">
        <f>IF(ISTEXT(RawMaterials[[#This Row],[Unit price in quote year]]),"Check calcs",RawMaterials[[#This Row],[Unit price in quote year]]/VLOOKUP(RawMaterials[[#This Row],[Quote Year]],ChemPPI[],14,FALSE)*VLOOKUP(BasisYear,ChemPPI[],14,FALSE))</f>
        <v>1.0925584349593498</v>
      </c>
      <c r="AM524" s="373" t="str">
        <f t="shared" si="7"/>
        <v>$/lb (2016)</v>
      </c>
    </row>
    <row r="525" spans="1:39">
      <c r="A525" s="263" t="s">
        <v>1620</v>
      </c>
      <c r="B525" s="264"/>
      <c r="C525" s="271"/>
      <c r="D525" s="365"/>
      <c r="E525" s="264">
        <v>100</v>
      </c>
      <c r="F525" s="264"/>
      <c r="G525" s="271"/>
      <c r="H525" s="271"/>
      <c r="I525" s="268"/>
      <c r="J525" s="271"/>
      <c r="K525" s="271"/>
      <c r="L525" s="271"/>
      <c r="M525" s="271"/>
      <c r="N525" s="271"/>
      <c r="O525" s="271"/>
      <c r="P525" s="265">
        <v>52.5</v>
      </c>
      <c r="Q525" s="264">
        <v>100</v>
      </c>
      <c r="R525" s="264" t="s">
        <v>20</v>
      </c>
      <c r="S525" s="264">
        <v>2006</v>
      </c>
      <c r="T525" s="266" t="s">
        <v>163</v>
      </c>
      <c r="U525" s="267">
        <v>42653</v>
      </c>
      <c r="V525" s="269"/>
      <c r="W525" s="366">
        <f>COUNT(RawMaterials[[#This Row],[Lab Quantity 1]:[Lab Quantity 4]])</f>
        <v>0</v>
      </c>
      <c r="X52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5" s="367" t="e">
        <f>RawMaterials[[#This Row],[Lab Price 1]]/RawMaterials[[#This Row],[Lab Q Model Units 1]]</f>
        <v>#N/A</v>
      </c>
      <c r="AC525" s="367" t="e">
        <f>RawMaterials[[#This Row],[Lab Price 2]]/RawMaterials[[#This Row],[Lab Q Model Units 2]]</f>
        <v>#N/A</v>
      </c>
      <c r="AD525" s="367" t="e">
        <f>RawMaterials[[#This Row],[Lab Price 3]]/RawMaterials[[#This Row],[Lab Q Model Units 3]]</f>
        <v>#N/A</v>
      </c>
      <c r="AE525" s="367" t="e">
        <f>RawMaterials[[#This Row],[Lab Price 4]]/RawMaterials[[#This Row],[Lab Q Model Units 4]]</f>
        <v>#N/A</v>
      </c>
      <c r="AF525" s="367" t="str">
        <f ca="1">IF(RawMaterials[[#This Row],[Lab Quote Count]]&gt;1,SLOPE(LOG(INDIRECT("RawMaterials[@[Lab Unit P 1]:[Lab Unit P "&amp;RawMaterials[[#This Row],[Lab Quote Count]]&amp;"]]")),LOG(INDIRECT("RawMaterials[@[Lab Q Model Units 1]:[Lab Q Model Units "&amp;RawMaterials[[#This Row],[Lab Quote Count]]&amp;"]]"))),"")</f>
        <v/>
      </c>
      <c r="AG525" s="367" t="str">
        <f ca="1">IF(RawMaterials[[#This Row],[Lab Quote Count]]&gt;1,INTERCEPT(LOG(INDIRECT("RawMaterials[@[Lab Unit P 1]:[Lab Unit P "&amp;RawMaterials[[#This Row],[Lab Quote Count]]&amp;"]]")),LOG(INDIRECT("RawMaterials[@[Lab Q Model Units 1]:[Lab Q Model Units "&amp;RawMaterials[[#This Row],[Lab Quote Count]]&amp;"]]"))),"")</f>
        <v/>
      </c>
      <c r="AH525" s="368" t="str">
        <f>IF(RawMaterials[[#This Row],[Material Type]]="Metal Precursor","D13",IF(RawMaterials[[#This Row],[Material Type]]="Ligand","D13","D12"))</f>
        <v>D12</v>
      </c>
      <c r="AI525" s="369" t="str">
        <f ca="1">IF(RawMaterials[[#This Row],[Lab Quote Count]]&gt;1,10^RawMaterials[[#This Row],[Lab Log-Log Intercept]]*INDIRECT(RawMaterials[[#This Row],[Basis Cell]])^RawMaterials[[#This Row],[Lab Log-Log Slope]],"&gt;&gt;&gt; Enter 2 or more lab quotes &lt;&lt;&lt;")</f>
        <v>&gt;&gt;&gt; Enter 2 or more lab quotes &lt;&lt;&lt;</v>
      </c>
      <c r="AJ52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0.52500000000000002</v>
      </c>
      <c r="AL525" s="372">
        <f>IF(ISTEXT(RawMaterials[[#This Row],[Unit price in quote year]]),"Check calcs",RawMaterials[[#This Row],[Unit price in quote year]]/VLOOKUP(RawMaterials[[#This Row],[Quote Year]],ChemPPI[],14,FALSE)*VLOOKUP(BasisYear,ChemPPI[],14,FALSE))</f>
        <v>0.71253810975609766</v>
      </c>
      <c r="AM525" s="373" t="str">
        <f t="shared" si="7"/>
        <v>$/lb (2016)</v>
      </c>
    </row>
    <row r="526" spans="1:39">
      <c r="A526" s="263" t="s">
        <v>1621</v>
      </c>
      <c r="B526" s="264"/>
      <c r="C526" s="271"/>
      <c r="D526" s="365"/>
      <c r="E526" s="264">
        <v>100</v>
      </c>
      <c r="F526" s="264"/>
      <c r="G526" s="271"/>
      <c r="H526" s="271"/>
      <c r="I526" s="268"/>
      <c r="J526" s="271"/>
      <c r="K526" s="271"/>
      <c r="L526" s="271"/>
      <c r="M526" s="271"/>
      <c r="N526" s="271"/>
      <c r="O526" s="271"/>
      <c r="P526" s="265">
        <v>34.75</v>
      </c>
      <c r="Q526" s="264">
        <v>100</v>
      </c>
      <c r="R526" s="264" t="s">
        <v>20</v>
      </c>
      <c r="S526" s="264">
        <v>2006</v>
      </c>
      <c r="T526" s="266" t="s">
        <v>163</v>
      </c>
      <c r="U526" s="267">
        <v>42653</v>
      </c>
      <c r="V526" s="269"/>
      <c r="W526" s="366">
        <f>COUNT(RawMaterials[[#This Row],[Lab Quantity 1]:[Lab Quantity 4]])</f>
        <v>0</v>
      </c>
      <c r="X52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6" s="367" t="e">
        <f>RawMaterials[[#This Row],[Lab Price 1]]/RawMaterials[[#This Row],[Lab Q Model Units 1]]</f>
        <v>#N/A</v>
      </c>
      <c r="AC526" s="367" t="e">
        <f>RawMaterials[[#This Row],[Lab Price 2]]/RawMaterials[[#This Row],[Lab Q Model Units 2]]</f>
        <v>#N/A</v>
      </c>
      <c r="AD526" s="367" t="e">
        <f>RawMaterials[[#This Row],[Lab Price 3]]/RawMaterials[[#This Row],[Lab Q Model Units 3]]</f>
        <v>#N/A</v>
      </c>
      <c r="AE526" s="367" t="e">
        <f>RawMaterials[[#This Row],[Lab Price 4]]/RawMaterials[[#This Row],[Lab Q Model Units 4]]</f>
        <v>#N/A</v>
      </c>
      <c r="AF526" s="367" t="str">
        <f ca="1">IF(RawMaterials[[#This Row],[Lab Quote Count]]&gt;1,SLOPE(LOG(INDIRECT("RawMaterials[@[Lab Unit P 1]:[Lab Unit P "&amp;RawMaterials[[#This Row],[Lab Quote Count]]&amp;"]]")),LOG(INDIRECT("RawMaterials[@[Lab Q Model Units 1]:[Lab Q Model Units "&amp;RawMaterials[[#This Row],[Lab Quote Count]]&amp;"]]"))),"")</f>
        <v/>
      </c>
      <c r="AG526" s="367" t="str">
        <f ca="1">IF(RawMaterials[[#This Row],[Lab Quote Count]]&gt;1,INTERCEPT(LOG(INDIRECT("RawMaterials[@[Lab Unit P 1]:[Lab Unit P "&amp;RawMaterials[[#This Row],[Lab Quote Count]]&amp;"]]")),LOG(INDIRECT("RawMaterials[@[Lab Q Model Units 1]:[Lab Q Model Units "&amp;RawMaterials[[#This Row],[Lab Quote Count]]&amp;"]]"))),"")</f>
        <v/>
      </c>
      <c r="AH526" s="368" t="str">
        <f>IF(RawMaterials[[#This Row],[Material Type]]="Metal Precursor","D13",IF(RawMaterials[[#This Row],[Material Type]]="Ligand","D13","D12"))</f>
        <v>D12</v>
      </c>
      <c r="AI526" s="369" t="str">
        <f ca="1">IF(RawMaterials[[#This Row],[Lab Quote Count]]&gt;1,10^RawMaterials[[#This Row],[Lab Log-Log Intercept]]*INDIRECT(RawMaterials[[#This Row],[Basis Cell]])^RawMaterials[[#This Row],[Lab Log-Log Slope]],"&gt;&gt;&gt; Enter 2 or more lab quotes &lt;&lt;&lt;")</f>
        <v>&gt;&gt;&gt; Enter 2 or more lab quotes &lt;&lt;&lt;</v>
      </c>
      <c r="AJ52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0.34749999999999998</v>
      </c>
      <c r="AL526" s="372">
        <f>IF(ISTEXT(RawMaterials[[#This Row],[Unit price in quote year]]),"Check calcs",RawMaterials[[#This Row],[Unit price in quote year]]/VLOOKUP(RawMaterials[[#This Row],[Quote Year]],ChemPPI[],14,FALSE)*VLOOKUP(BasisYear,ChemPPI[],14,FALSE))</f>
        <v>0.4716323678861789</v>
      </c>
      <c r="AM526" s="373" t="str">
        <f t="shared" si="7"/>
        <v>$/lb (2016)</v>
      </c>
    </row>
    <row r="527" spans="1:39">
      <c r="A527" s="263" t="s">
        <v>1622</v>
      </c>
      <c r="B527" s="264"/>
      <c r="C527" s="271"/>
      <c r="D527" s="365"/>
      <c r="E527" s="264">
        <v>100</v>
      </c>
      <c r="F527" s="264"/>
      <c r="G527" s="271"/>
      <c r="H527" s="271"/>
      <c r="I527" s="268"/>
      <c r="J527" s="271"/>
      <c r="K527" s="271"/>
      <c r="L527" s="271"/>
      <c r="M527" s="271"/>
      <c r="N527" s="271"/>
      <c r="O527" s="271"/>
      <c r="P527" s="265">
        <v>90.75</v>
      </c>
      <c r="Q527" s="264">
        <v>100</v>
      </c>
      <c r="R527" s="264" t="s">
        <v>20</v>
      </c>
      <c r="S527" s="264">
        <v>2006</v>
      </c>
      <c r="T527" s="266" t="s">
        <v>163</v>
      </c>
      <c r="U527" s="267">
        <v>42653</v>
      </c>
      <c r="V527" s="269"/>
      <c r="W527" s="366">
        <f>COUNT(RawMaterials[[#This Row],[Lab Quantity 1]:[Lab Quantity 4]])</f>
        <v>0</v>
      </c>
      <c r="X52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7" s="367" t="e">
        <f>RawMaterials[[#This Row],[Lab Price 1]]/RawMaterials[[#This Row],[Lab Q Model Units 1]]</f>
        <v>#N/A</v>
      </c>
      <c r="AC527" s="367" t="e">
        <f>RawMaterials[[#This Row],[Lab Price 2]]/RawMaterials[[#This Row],[Lab Q Model Units 2]]</f>
        <v>#N/A</v>
      </c>
      <c r="AD527" s="367" t="e">
        <f>RawMaterials[[#This Row],[Lab Price 3]]/RawMaterials[[#This Row],[Lab Q Model Units 3]]</f>
        <v>#N/A</v>
      </c>
      <c r="AE527" s="367" t="e">
        <f>RawMaterials[[#This Row],[Lab Price 4]]/RawMaterials[[#This Row],[Lab Q Model Units 4]]</f>
        <v>#N/A</v>
      </c>
      <c r="AF527" s="367" t="str">
        <f ca="1">IF(RawMaterials[[#This Row],[Lab Quote Count]]&gt;1,SLOPE(LOG(INDIRECT("RawMaterials[@[Lab Unit P 1]:[Lab Unit P "&amp;RawMaterials[[#This Row],[Lab Quote Count]]&amp;"]]")),LOG(INDIRECT("RawMaterials[@[Lab Q Model Units 1]:[Lab Q Model Units "&amp;RawMaterials[[#This Row],[Lab Quote Count]]&amp;"]]"))),"")</f>
        <v/>
      </c>
      <c r="AG527" s="367" t="str">
        <f ca="1">IF(RawMaterials[[#This Row],[Lab Quote Count]]&gt;1,INTERCEPT(LOG(INDIRECT("RawMaterials[@[Lab Unit P 1]:[Lab Unit P "&amp;RawMaterials[[#This Row],[Lab Quote Count]]&amp;"]]")),LOG(INDIRECT("RawMaterials[@[Lab Q Model Units 1]:[Lab Q Model Units "&amp;RawMaterials[[#This Row],[Lab Quote Count]]&amp;"]]"))),"")</f>
        <v/>
      </c>
      <c r="AH527" s="368" t="str">
        <f>IF(RawMaterials[[#This Row],[Material Type]]="Metal Precursor","D13",IF(RawMaterials[[#This Row],[Material Type]]="Ligand","D13","D12"))</f>
        <v>D12</v>
      </c>
      <c r="AI527" s="369" t="str">
        <f ca="1">IF(RawMaterials[[#This Row],[Lab Quote Count]]&gt;1,10^RawMaterials[[#This Row],[Lab Log-Log Intercept]]*INDIRECT(RawMaterials[[#This Row],[Basis Cell]])^RawMaterials[[#This Row],[Lab Log-Log Slope]],"&gt;&gt;&gt; Enter 2 or more lab quotes &lt;&lt;&lt;")</f>
        <v>&gt;&gt;&gt; Enter 2 or more lab quotes &lt;&lt;&lt;</v>
      </c>
      <c r="AJ52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0.90749999999999997</v>
      </c>
      <c r="AL527" s="372">
        <f>IF(ISTEXT(RawMaterials[[#This Row],[Unit price in quote year]]),"Check calcs",RawMaterials[[#This Row],[Unit price in quote year]]/VLOOKUP(RawMaterials[[#This Row],[Quote Year]],ChemPPI[],14,FALSE)*VLOOKUP(BasisYear,ChemPPI[],14,FALSE))</f>
        <v>1.2316730182926832</v>
      </c>
      <c r="AM527" s="373" t="str">
        <f t="shared" si="7"/>
        <v>$/lb (2016)</v>
      </c>
    </row>
    <row r="528" spans="1:39">
      <c r="A528" s="263" t="s">
        <v>1623</v>
      </c>
      <c r="B528" s="264"/>
      <c r="C528" s="271"/>
      <c r="D528" s="365"/>
      <c r="E528" s="264">
        <v>100</v>
      </c>
      <c r="F528" s="264"/>
      <c r="G528" s="271"/>
      <c r="H528" s="271"/>
      <c r="I528" s="268"/>
      <c r="J528" s="271"/>
      <c r="K528" s="271"/>
      <c r="L528" s="271"/>
      <c r="M528" s="271"/>
      <c r="N528" s="271"/>
      <c r="O528" s="271"/>
      <c r="P528" s="265">
        <v>257.5</v>
      </c>
      <c r="Q528" s="264">
        <v>1</v>
      </c>
      <c r="R528" s="264" t="s">
        <v>406</v>
      </c>
      <c r="S528" s="264">
        <v>2006</v>
      </c>
      <c r="T528" s="266" t="s">
        <v>163</v>
      </c>
      <c r="U528" s="267">
        <v>42653</v>
      </c>
      <c r="V528" s="269"/>
      <c r="W528" s="366">
        <f>COUNT(RawMaterials[[#This Row],[Lab Quantity 1]:[Lab Quantity 4]])</f>
        <v>0</v>
      </c>
      <c r="X52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8" s="367" t="e">
        <f>RawMaterials[[#This Row],[Lab Price 1]]/RawMaterials[[#This Row],[Lab Q Model Units 1]]</f>
        <v>#N/A</v>
      </c>
      <c r="AC528" s="367" t="e">
        <f>RawMaterials[[#This Row],[Lab Price 2]]/RawMaterials[[#This Row],[Lab Q Model Units 2]]</f>
        <v>#N/A</v>
      </c>
      <c r="AD528" s="367" t="e">
        <f>RawMaterials[[#This Row],[Lab Price 3]]/RawMaterials[[#This Row],[Lab Q Model Units 3]]</f>
        <v>#N/A</v>
      </c>
      <c r="AE528" s="367" t="e">
        <f>RawMaterials[[#This Row],[Lab Price 4]]/RawMaterials[[#This Row],[Lab Q Model Units 4]]</f>
        <v>#N/A</v>
      </c>
      <c r="AF528" s="367" t="str">
        <f ca="1">IF(RawMaterials[[#This Row],[Lab Quote Count]]&gt;1,SLOPE(LOG(INDIRECT("RawMaterials[@[Lab Unit P 1]:[Lab Unit P "&amp;RawMaterials[[#This Row],[Lab Quote Count]]&amp;"]]")),LOG(INDIRECT("RawMaterials[@[Lab Q Model Units 1]:[Lab Q Model Units "&amp;RawMaterials[[#This Row],[Lab Quote Count]]&amp;"]]"))),"")</f>
        <v/>
      </c>
      <c r="AG528" s="367" t="str">
        <f ca="1">IF(RawMaterials[[#This Row],[Lab Quote Count]]&gt;1,INTERCEPT(LOG(INDIRECT("RawMaterials[@[Lab Unit P 1]:[Lab Unit P "&amp;RawMaterials[[#This Row],[Lab Quote Count]]&amp;"]]")),LOG(INDIRECT("RawMaterials[@[Lab Q Model Units 1]:[Lab Q Model Units "&amp;RawMaterials[[#This Row],[Lab Quote Count]]&amp;"]]"))),"")</f>
        <v/>
      </c>
      <c r="AH528" s="368" t="str">
        <f>IF(RawMaterials[[#This Row],[Material Type]]="Metal Precursor","D13",IF(RawMaterials[[#This Row],[Material Type]]="Ligand","D13","D12"))</f>
        <v>D12</v>
      </c>
      <c r="AI528" s="369" t="str">
        <f ca="1">IF(RawMaterials[[#This Row],[Lab Quote Count]]&gt;1,10^RawMaterials[[#This Row],[Lab Log-Log Intercept]]*INDIRECT(RawMaterials[[#This Row],[Basis Cell]])^RawMaterials[[#This Row],[Lab Log-Log Slope]],"&gt;&gt;&gt; Enter 2 or more lab quotes &lt;&lt;&lt;")</f>
        <v>&gt;&gt;&gt; Enter 2 or more lab quotes &lt;&lt;&lt;</v>
      </c>
      <c r="AJ52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2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0.12875</v>
      </c>
      <c r="AL528" s="372">
        <f>IF(ISTEXT(RawMaterials[[#This Row],[Unit price in quote year]]),"Check calcs",RawMaterials[[#This Row],[Unit price in quote year]]/VLOOKUP(RawMaterials[[#This Row],[Quote Year]],ChemPPI[],14,FALSE)*VLOOKUP(BasisYear,ChemPPI[],14,FALSE))</f>
        <v>0.17474148882113827</v>
      </c>
      <c r="AM528" s="373" t="str">
        <f t="shared" ref="AM528:AM591" si="8">CurrencySymbol&amp;"/"&amp;OutMassUnit&amp;" ("&amp;BasisYear&amp;")"</f>
        <v>$/lb (2016)</v>
      </c>
    </row>
    <row r="529" spans="1:39">
      <c r="A529" s="263" t="s">
        <v>1624</v>
      </c>
      <c r="B529" s="264"/>
      <c r="C529" s="271"/>
      <c r="D529" s="365"/>
      <c r="E529" s="264">
        <v>100</v>
      </c>
      <c r="F529" s="264"/>
      <c r="G529" s="271"/>
      <c r="H529" s="271"/>
      <c r="I529" s="268"/>
      <c r="J529" s="271"/>
      <c r="K529" s="271"/>
      <c r="L529" s="271"/>
      <c r="M529" s="271"/>
      <c r="N529" s="271"/>
      <c r="O529" s="271"/>
      <c r="P529" s="265">
        <v>12.025</v>
      </c>
      <c r="Q529" s="264">
        <v>100</v>
      </c>
      <c r="R529" s="264" t="s">
        <v>20</v>
      </c>
      <c r="S529" s="264">
        <v>2006</v>
      </c>
      <c r="T529" s="266" t="s">
        <v>163</v>
      </c>
      <c r="U529" s="267">
        <v>42653</v>
      </c>
      <c r="V529" s="269"/>
      <c r="W529" s="366">
        <f>COUNT(RawMaterials[[#This Row],[Lab Quantity 1]:[Lab Quantity 4]])</f>
        <v>0</v>
      </c>
      <c r="X52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2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2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2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29" s="367" t="e">
        <f>RawMaterials[[#This Row],[Lab Price 1]]/RawMaterials[[#This Row],[Lab Q Model Units 1]]</f>
        <v>#N/A</v>
      </c>
      <c r="AC529" s="367" t="e">
        <f>RawMaterials[[#This Row],[Lab Price 2]]/RawMaterials[[#This Row],[Lab Q Model Units 2]]</f>
        <v>#N/A</v>
      </c>
      <c r="AD529" s="367" t="e">
        <f>RawMaterials[[#This Row],[Lab Price 3]]/RawMaterials[[#This Row],[Lab Q Model Units 3]]</f>
        <v>#N/A</v>
      </c>
      <c r="AE529" s="367" t="e">
        <f>RawMaterials[[#This Row],[Lab Price 4]]/RawMaterials[[#This Row],[Lab Q Model Units 4]]</f>
        <v>#N/A</v>
      </c>
      <c r="AF529" s="367" t="str">
        <f ca="1">IF(RawMaterials[[#This Row],[Lab Quote Count]]&gt;1,SLOPE(LOG(INDIRECT("RawMaterials[@[Lab Unit P 1]:[Lab Unit P "&amp;RawMaterials[[#This Row],[Lab Quote Count]]&amp;"]]")),LOG(INDIRECT("RawMaterials[@[Lab Q Model Units 1]:[Lab Q Model Units "&amp;RawMaterials[[#This Row],[Lab Quote Count]]&amp;"]]"))),"")</f>
        <v/>
      </c>
      <c r="AG529" s="367" t="str">
        <f ca="1">IF(RawMaterials[[#This Row],[Lab Quote Count]]&gt;1,INTERCEPT(LOG(INDIRECT("RawMaterials[@[Lab Unit P 1]:[Lab Unit P "&amp;RawMaterials[[#This Row],[Lab Quote Count]]&amp;"]]")),LOG(INDIRECT("RawMaterials[@[Lab Q Model Units 1]:[Lab Q Model Units "&amp;RawMaterials[[#This Row],[Lab Quote Count]]&amp;"]]"))),"")</f>
        <v/>
      </c>
      <c r="AH529" s="368" t="str">
        <f>IF(RawMaterials[[#This Row],[Material Type]]="Metal Precursor","D13",IF(RawMaterials[[#This Row],[Material Type]]="Ligand","D13","D12"))</f>
        <v>D12</v>
      </c>
      <c r="AI529" s="369" t="str">
        <f ca="1">IF(RawMaterials[[#This Row],[Lab Quote Count]]&gt;1,10^RawMaterials[[#This Row],[Lab Log-Log Intercept]]*INDIRECT(RawMaterials[[#This Row],[Basis Cell]])^RawMaterials[[#This Row],[Lab Log-Log Slope]],"&gt;&gt;&gt; Enter 2 or more lab quotes &lt;&lt;&lt;")</f>
        <v>&gt;&gt;&gt; Enter 2 or more lab quotes &lt;&lt;&lt;</v>
      </c>
      <c r="AJ52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2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0.12025000000000001</v>
      </c>
      <c r="AL529" s="372">
        <f>IF(ISTEXT(RawMaterials[[#This Row],[Unit price in quote year]]),"Check calcs",RawMaterials[[#This Row],[Unit price in quote year]]/VLOOKUP(RawMaterials[[#This Row],[Quote Year]],ChemPPI[],14,FALSE)*VLOOKUP(BasisYear,ChemPPI[],14,FALSE))</f>
        <v>0.16320515752032524</v>
      </c>
      <c r="AM529" s="373" t="str">
        <f t="shared" si="8"/>
        <v>$/lb (2016)</v>
      </c>
    </row>
    <row r="530" spans="1:39">
      <c r="A530" s="263" t="s">
        <v>1625</v>
      </c>
      <c r="B530" s="264"/>
      <c r="C530" s="271"/>
      <c r="D530" s="365"/>
      <c r="E530" s="264">
        <v>100</v>
      </c>
      <c r="F530" s="264"/>
      <c r="G530" s="271"/>
      <c r="H530" s="271"/>
      <c r="I530" s="268"/>
      <c r="J530" s="271"/>
      <c r="K530" s="271"/>
      <c r="L530" s="271"/>
      <c r="M530" s="271"/>
      <c r="N530" s="271"/>
      <c r="O530" s="271"/>
      <c r="P530" s="265">
        <v>38</v>
      </c>
      <c r="Q530" s="264">
        <v>100</v>
      </c>
      <c r="R530" s="264" t="s">
        <v>20</v>
      </c>
      <c r="S530" s="264">
        <v>2006</v>
      </c>
      <c r="T530" s="266" t="s">
        <v>163</v>
      </c>
      <c r="U530" s="267">
        <v>42653</v>
      </c>
      <c r="V530" s="269"/>
      <c r="W530" s="366">
        <f>COUNT(RawMaterials[[#This Row],[Lab Quantity 1]:[Lab Quantity 4]])</f>
        <v>0</v>
      </c>
      <c r="X53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0" s="367" t="e">
        <f>RawMaterials[[#This Row],[Lab Price 1]]/RawMaterials[[#This Row],[Lab Q Model Units 1]]</f>
        <v>#N/A</v>
      </c>
      <c r="AC530" s="367" t="e">
        <f>RawMaterials[[#This Row],[Lab Price 2]]/RawMaterials[[#This Row],[Lab Q Model Units 2]]</f>
        <v>#N/A</v>
      </c>
      <c r="AD530" s="367" t="e">
        <f>RawMaterials[[#This Row],[Lab Price 3]]/RawMaterials[[#This Row],[Lab Q Model Units 3]]</f>
        <v>#N/A</v>
      </c>
      <c r="AE530" s="367" t="e">
        <f>RawMaterials[[#This Row],[Lab Price 4]]/RawMaterials[[#This Row],[Lab Q Model Units 4]]</f>
        <v>#N/A</v>
      </c>
      <c r="AF530" s="367" t="str">
        <f ca="1">IF(RawMaterials[[#This Row],[Lab Quote Count]]&gt;1,SLOPE(LOG(INDIRECT("RawMaterials[@[Lab Unit P 1]:[Lab Unit P "&amp;RawMaterials[[#This Row],[Lab Quote Count]]&amp;"]]")),LOG(INDIRECT("RawMaterials[@[Lab Q Model Units 1]:[Lab Q Model Units "&amp;RawMaterials[[#This Row],[Lab Quote Count]]&amp;"]]"))),"")</f>
        <v/>
      </c>
      <c r="AG530" s="367" t="str">
        <f ca="1">IF(RawMaterials[[#This Row],[Lab Quote Count]]&gt;1,INTERCEPT(LOG(INDIRECT("RawMaterials[@[Lab Unit P 1]:[Lab Unit P "&amp;RawMaterials[[#This Row],[Lab Quote Count]]&amp;"]]")),LOG(INDIRECT("RawMaterials[@[Lab Q Model Units 1]:[Lab Q Model Units "&amp;RawMaterials[[#This Row],[Lab Quote Count]]&amp;"]]"))),"")</f>
        <v/>
      </c>
      <c r="AH530" s="368" t="str">
        <f>IF(RawMaterials[[#This Row],[Material Type]]="Metal Precursor","D13",IF(RawMaterials[[#This Row],[Material Type]]="Ligand","D13","D12"))</f>
        <v>D12</v>
      </c>
      <c r="AI530" s="369" t="str">
        <f ca="1">IF(RawMaterials[[#This Row],[Lab Quote Count]]&gt;1,10^RawMaterials[[#This Row],[Lab Log-Log Intercept]]*INDIRECT(RawMaterials[[#This Row],[Basis Cell]])^RawMaterials[[#This Row],[Lab Log-Log Slope]],"&gt;&gt;&gt; Enter 2 or more lab quotes &lt;&lt;&lt;")</f>
        <v>&gt;&gt;&gt; Enter 2 or more lab quotes &lt;&lt;&lt;</v>
      </c>
      <c r="AJ53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v>
      </c>
      <c r="AL530" s="372">
        <f>IF(ISTEXT(RawMaterials[[#This Row],[Unit price in quote year]]),"Check calcs",RawMaterials[[#This Row],[Unit price in quote year]]/VLOOKUP(RawMaterials[[#This Row],[Quote Year]],ChemPPI[],14,FALSE)*VLOOKUP(BasisYear,ChemPPI[],14,FALSE))</f>
        <v>0.5157418699186993</v>
      </c>
      <c r="AM530" s="373" t="str">
        <f t="shared" si="8"/>
        <v>$/lb (2016)</v>
      </c>
    </row>
    <row r="531" spans="1:39">
      <c r="A531" s="263" t="s">
        <v>1626</v>
      </c>
      <c r="B531" s="264"/>
      <c r="C531" s="271"/>
      <c r="D531" s="365"/>
      <c r="E531" s="264">
        <v>100</v>
      </c>
      <c r="F531" s="264"/>
      <c r="G531" s="271"/>
      <c r="H531" s="271"/>
      <c r="I531" s="268"/>
      <c r="J531" s="271"/>
      <c r="K531" s="271"/>
      <c r="L531" s="271"/>
      <c r="M531" s="271"/>
      <c r="N531" s="271"/>
      <c r="O531" s="271"/>
      <c r="P531" s="265">
        <v>35.6</v>
      </c>
      <c r="Q531" s="264">
        <v>100</v>
      </c>
      <c r="R531" s="264" t="s">
        <v>20</v>
      </c>
      <c r="S531" s="264">
        <v>2006</v>
      </c>
      <c r="T531" s="266" t="s">
        <v>163</v>
      </c>
      <c r="U531" s="267">
        <v>42653</v>
      </c>
      <c r="V531" s="269"/>
      <c r="W531" s="366">
        <f>COUNT(RawMaterials[[#This Row],[Lab Quantity 1]:[Lab Quantity 4]])</f>
        <v>0</v>
      </c>
      <c r="X53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1" s="367" t="e">
        <f>RawMaterials[[#This Row],[Lab Price 1]]/RawMaterials[[#This Row],[Lab Q Model Units 1]]</f>
        <v>#N/A</v>
      </c>
      <c r="AC531" s="367" t="e">
        <f>RawMaterials[[#This Row],[Lab Price 2]]/RawMaterials[[#This Row],[Lab Q Model Units 2]]</f>
        <v>#N/A</v>
      </c>
      <c r="AD531" s="367" t="e">
        <f>RawMaterials[[#This Row],[Lab Price 3]]/RawMaterials[[#This Row],[Lab Q Model Units 3]]</f>
        <v>#N/A</v>
      </c>
      <c r="AE531" s="367" t="e">
        <f>RawMaterials[[#This Row],[Lab Price 4]]/RawMaterials[[#This Row],[Lab Q Model Units 4]]</f>
        <v>#N/A</v>
      </c>
      <c r="AF531" s="367" t="str">
        <f ca="1">IF(RawMaterials[[#This Row],[Lab Quote Count]]&gt;1,SLOPE(LOG(INDIRECT("RawMaterials[@[Lab Unit P 1]:[Lab Unit P "&amp;RawMaterials[[#This Row],[Lab Quote Count]]&amp;"]]")),LOG(INDIRECT("RawMaterials[@[Lab Q Model Units 1]:[Lab Q Model Units "&amp;RawMaterials[[#This Row],[Lab Quote Count]]&amp;"]]"))),"")</f>
        <v/>
      </c>
      <c r="AG531" s="367" t="str">
        <f ca="1">IF(RawMaterials[[#This Row],[Lab Quote Count]]&gt;1,INTERCEPT(LOG(INDIRECT("RawMaterials[@[Lab Unit P 1]:[Lab Unit P "&amp;RawMaterials[[#This Row],[Lab Quote Count]]&amp;"]]")),LOG(INDIRECT("RawMaterials[@[Lab Q Model Units 1]:[Lab Q Model Units "&amp;RawMaterials[[#This Row],[Lab Quote Count]]&amp;"]]"))),"")</f>
        <v/>
      </c>
      <c r="AH531" s="368" t="str">
        <f>IF(RawMaterials[[#This Row],[Material Type]]="Metal Precursor","D13",IF(RawMaterials[[#This Row],[Material Type]]="Ligand","D13","D12"))</f>
        <v>D12</v>
      </c>
      <c r="AI531" s="369" t="str">
        <f ca="1">IF(RawMaterials[[#This Row],[Lab Quote Count]]&gt;1,10^RawMaterials[[#This Row],[Lab Log-Log Intercept]]*INDIRECT(RawMaterials[[#This Row],[Basis Cell]])^RawMaterials[[#This Row],[Lab Log-Log Slope]],"&gt;&gt;&gt; Enter 2 or more lab quotes &lt;&lt;&lt;")</f>
        <v>&gt;&gt;&gt; Enter 2 or more lab quotes &lt;&lt;&lt;</v>
      </c>
      <c r="AJ53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0.35600000000000004</v>
      </c>
      <c r="AL531" s="372">
        <f>IF(ISTEXT(RawMaterials[[#This Row],[Unit price in quote year]]),"Check calcs",RawMaterials[[#This Row],[Unit price in quote year]]/VLOOKUP(RawMaterials[[#This Row],[Quote Year]],ChemPPI[],14,FALSE)*VLOOKUP(BasisYear,ChemPPI[],14,FALSE))</f>
        <v>0.48316869918699201</v>
      </c>
      <c r="AM531" s="373" t="str">
        <f t="shared" si="8"/>
        <v>$/lb (2016)</v>
      </c>
    </row>
    <row r="532" spans="1:39">
      <c r="A532" s="263" t="s">
        <v>1627</v>
      </c>
      <c r="B532" s="264"/>
      <c r="C532" s="271"/>
      <c r="D532" s="365"/>
      <c r="E532" s="264">
        <v>100</v>
      </c>
      <c r="F532" s="264"/>
      <c r="G532" s="271"/>
      <c r="H532" s="271"/>
      <c r="I532" s="268"/>
      <c r="J532" s="271"/>
      <c r="K532" s="271"/>
      <c r="L532" s="271"/>
      <c r="M532" s="271"/>
      <c r="N532" s="271"/>
      <c r="O532" s="271"/>
      <c r="P532" s="265">
        <v>122.5</v>
      </c>
      <c r="Q532" s="264">
        <v>1</v>
      </c>
      <c r="R532" s="264" t="s">
        <v>1123</v>
      </c>
      <c r="S532" s="264">
        <v>2006</v>
      </c>
      <c r="T532" s="266" t="s">
        <v>163</v>
      </c>
      <c r="U532" s="267">
        <v>42653</v>
      </c>
      <c r="V532" s="269"/>
      <c r="W532" s="366">
        <f>COUNT(RawMaterials[[#This Row],[Lab Quantity 1]:[Lab Quantity 4]])</f>
        <v>0</v>
      </c>
      <c r="X53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2" s="367" t="e">
        <f>RawMaterials[[#This Row],[Lab Price 1]]/RawMaterials[[#This Row],[Lab Q Model Units 1]]</f>
        <v>#N/A</v>
      </c>
      <c r="AC532" s="367" t="e">
        <f>RawMaterials[[#This Row],[Lab Price 2]]/RawMaterials[[#This Row],[Lab Q Model Units 2]]</f>
        <v>#N/A</v>
      </c>
      <c r="AD532" s="367" t="e">
        <f>RawMaterials[[#This Row],[Lab Price 3]]/RawMaterials[[#This Row],[Lab Q Model Units 3]]</f>
        <v>#N/A</v>
      </c>
      <c r="AE532" s="367" t="e">
        <f>RawMaterials[[#This Row],[Lab Price 4]]/RawMaterials[[#This Row],[Lab Q Model Units 4]]</f>
        <v>#N/A</v>
      </c>
      <c r="AF532" s="367" t="str">
        <f ca="1">IF(RawMaterials[[#This Row],[Lab Quote Count]]&gt;1,SLOPE(LOG(INDIRECT("RawMaterials[@[Lab Unit P 1]:[Lab Unit P "&amp;RawMaterials[[#This Row],[Lab Quote Count]]&amp;"]]")),LOG(INDIRECT("RawMaterials[@[Lab Q Model Units 1]:[Lab Q Model Units "&amp;RawMaterials[[#This Row],[Lab Quote Count]]&amp;"]]"))),"")</f>
        <v/>
      </c>
      <c r="AG532" s="367" t="str">
        <f ca="1">IF(RawMaterials[[#This Row],[Lab Quote Count]]&gt;1,INTERCEPT(LOG(INDIRECT("RawMaterials[@[Lab Unit P 1]:[Lab Unit P "&amp;RawMaterials[[#This Row],[Lab Quote Count]]&amp;"]]")),LOG(INDIRECT("RawMaterials[@[Lab Q Model Units 1]:[Lab Q Model Units "&amp;RawMaterials[[#This Row],[Lab Quote Count]]&amp;"]]"))),"")</f>
        <v/>
      </c>
      <c r="AH532" s="368" t="str">
        <f>IF(RawMaterials[[#This Row],[Material Type]]="Metal Precursor","D13",IF(RawMaterials[[#This Row],[Material Type]]="Ligand","D13","D12"))</f>
        <v>D12</v>
      </c>
      <c r="AI532" s="369" t="str">
        <f ca="1">IF(RawMaterials[[#This Row],[Lab Quote Count]]&gt;1,10^RawMaterials[[#This Row],[Lab Log-Log Intercept]]*INDIRECT(RawMaterials[[#This Row],[Basis Cell]])^RawMaterials[[#This Row],[Lab Log-Log Slope]],"&gt;&gt;&gt; Enter 2 or more lab quotes &lt;&lt;&lt;")</f>
        <v>&gt;&gt;&gt; Enter 2 or more lab quotes &lt;&lt;&lt;</v>
      </c>
      <c r="AJ53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3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5.5565065324999996E-2</v>
      </c>
      <c r="AL532" s="372">
        <f>IF(ISTEXT(RawMaterials[[#This Row],[Unit price in quote year]]),"Check calcs",RawMaterials[[#This Row],[Unit price in quote year]]/VLOOKUP(RawMaterials[[#This Row],[Quote Year]],ChemPPI[],14,FALSE)*VLOOKUP(BasisYear,ChemPPI[],14,FALSE))</f>
        <v>7.5413764981237294E-2</v>
      </c>
      <c r="AM532" s="373" t="str">
        <f t="shared" si="8"/>
        <v>$/lb (2016)</v>
      </c>
    </row>
    <row r="533" spans="1:39">
      <c r="A533" s="263" t="s">
        <v>1628</v>
      </c>
      <c r="B533" s="264"/>
      <c r="C533" s="271"/>
      <c r="D533" s="365"/>
      <c r="E533" s="264">
        <v>100</v>
      </c>
      <c r="F533" s="264"/>
      <c r="G533" s="271"/>
      <c r="H533" s="271"/>
      <c r="I533" s="268"/>
      <c r="J533" s="271"/>
      <c r="K533" s="271"/>
      <c r="L533" s="271"/>
      <c r="M533" s="271"/>
      <c r="N533" s="271"/>
      <c r="O533" s="271"/>
      <c r="P533" s="265">
        <v>36</v>
      </c>
      <c r="Q533" s="264">
        <v>1</v>
      </c>
      <c r="R533" s="264" t="s">
        <v>20</v>
      </c>
      <c r="S533" s="264">
        <v>2006</v>
      </c>
      <c r="T533" s="266" t="s">
        <v>163</v>
      </c>
      <c r="U533" s="267">
        <v>42653</v>
      </c>
      <c r="V533" s="269"/>
      <c r="W533" s="366">
        <f>COUNT(RawMaterials[[#This Row],[Lab Quantity 1]:[Lab Quantity 4]])</f>
        <v>0</v>
      </c>
      <c r="X53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3" s="367" t="e">
        <f>RawMaterials[[#This Row],[Lab Price 1]]/RawMaterials[[#This Row],[Lab Q Model Units 1]]</f>
        <v>#N/A</v>
      </c>
      <c r="AC533" s="367" t="e">
        <f>RawMaterials[[#This Row],[Lab Price 2]]/RawMaterials[[#This Row],[Lab Q Model Units 2]]</f>
        <v>#N/A</v>
      </c>
      <c r="AD533" s="367" t="e">
        <f>RawMaterials[[#This Row],[Lab Price 3]]/RawMaterials[[#This Row],[Lab Q Model Units 3]]</f>
        <v>#N/A</v>
      </c>
      <c r="AE533" s="367" t="e">
        <f>RawMaterials[[#This Row],[Lab Price 4]]/RawMaterials[[#This Row],[Lab Q Model Units 4]]</f>
        <v>#N/A</v>
      </c>
      <c r="AF533" s="367" t="str">
        <f ca="1">IF(RawMaterials[[#This Row],[Lab Quote Count]]&gt;1,SLOPE(LOG(INDIRECT("RawMaterials[@[Lab Unit P 1]:[Lab Unit P "&amp;RawMaterials[[#This Row],[Lab Quote Count]]&amp;"]]")),LOG(INDIRECT("RawMaterials[@[Lab Q Model Units 1]:[Lab Q Model Units "&amp;RawMaterials[[#This Row],[Lab Quote Count]]&amp;"]]"))),"")</f>
        <v/>
      </c>
      <c r="AG533" s="367" t="str">
        <f ca="1">IF(RawMaterials[[#This Row],[Lab Quote Count]]&gt;1,INTERCEPT(LOG(INDIRECT("RawMaterials[@[Lab Unit P 1]:[Lab Unit P "&amp;RawMaterials[[#This Row],[Lab Quote Count]]&amp;"]]")),LOG(INDIRECT("RawMaterials[@[Lab Q Model Units 1]:[Lab Q Model Units "&amp;RawMaterials[[#This Row],[Lab Quote Count]]&amp;"]]"))),"")</f>
        <v/>
      </c>
      <c r="AH533" s="368" t="str">
        <f>IF(RawMaterials[[#This Row],[Material Type]]="Metal Precursor","D13",IF(RawMaterials[[#This Row],[Material Type]]="Ligand","D13","D12"))</f>
        <v>D12</v>
      </c>
      <c r="AI533" s="369" t="str">
        <f ca="1">IF(RawMaterials[[#This Row],[Lab Quote Count]]&gt;1,10^RawMaterials[[#This Row],[Lab Log-Log Intercept]]*INDIRECT(RawMaterials[[#This Row],[Basis Cell]])^RawMaterials[[#This Row],[Lab Log-Log Slope]],"&gt;&gt;&gt; Enter 2 or more lab quotes &lt;&lt;&lt;")</f>
        <v>&gt;&gt;&gt; Enter 2 or more lab quotes &lt;&lt;&lt;</v>
      </c>
      <c r="AJ53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v>
      </c>
      <c r="AL533" s="372">
        <f>IF(ISTEXT(RawMaterials[[#This Row],[Unit price in quote year]]),"Check calcs",RawMaterials[[#This Row],[Unit price in quote year]]/VLOOKUP(RawMaterials[[#This Row],[Quote Year]],ChemPPI[],14,FALSE)*VLOOKUP(BasisYear,ChemPPI[],14,FALSE))</f>
        <v>48.859756097560989</v>
      </c>
      <c r="AM533" s="373" t="str">
        <f t="shared" si="8"/>
        <v>$/lb (2016)</v>
      </c>
    </row>
    <row r="534" spans="1:39">
      <c r="A534" s="263" t="s">
        <v>1629</v>
      </c>
      <c r="B534" s="264"/>
      <c r="C534" s="271"/>
      <c r="D534" s="365"/>
      <c r="E534" s="264">
        <v>100</v>
      </c>
      <c r="F534" s="264"/>
      <c r="G534" s="271"/>
      <c r="H534" s="271"/>
      <c r="I534" s="268"/>
      <c r="J534" s="271"/>
      <c r="K534" s="271"/>
      <c r="L534" s="271"/>
      <c r="M534" s="271"/>
      <c r="N534" s="271"/>
      <c r="O534" s="271"/>
      <c r="P534" s="265">
        <v>122.5</v>
      </c>
      <c r="Q534" s="264">
        <v>1</v>
      </c>
      <c r="R534" s="264" t="s">
        <v>20</v>
      </c>
      <c r="S534" s="264">
        <v>2006</v>
      </c>
      <c r="T534" s="266" t="s">
        <v>163</v>
      </c>
      <c r="U534" s="267">
        <v>42653</v>
      </c>
      <c r="V534" s="269"/>
      <c r="W534" s="366">
        <f>COUNT(RawMaterials[[#This Row],[Lab Quantity 1]:[Lab Quantity 4]])</f>
        <v>0</v>
      </c>
      <c r="X53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4" s="367" t="e">
        <f>RawMaterials[[#This Row],[Lab Price 1]]/RawMaterials[[#This Row],[Lab Q Model Units 1]]</f>
        <v>#N/A</v>
      </c>
      <c r="AC534" s="367" t="e">
        <f>RawMaterials[[#This Row],[Lab Price 2]]/RawMaterials[[#This Row],[Lab Q Model Units 2]]</f>
        <v>#N/A</v>
      </c>
      <c r="AD534" s="367" t="e">
        <f>RawMaterials[[#This Row],[Lab Price 3]]/RawMaterials[[#This Row],[Lab Q Model Units 3]]</f>
        <v>#N/A</v>
      </c>
      <c r="AE534" s="367" t="e">
        <f>RawMaterials[[#This Row],[Lab Price 4]]/RawMaterials[[#This Row],[Lab Q Model Units 4]]</f>
        <v>#N/A</v>
      </c>
      <c r="AF534" s="367" t="str">
        <f ca="1">IF(RawMaterials[[#This Row],[Lab Quote Count]]&gt;1,SLOPE(LOG(INDIRECT("RawMaterials[@[Lab Unit P 1]:[Lab Unit P "&amp;RawMaterials[[#This Row],[Lab Quote Count]]&amp;"]]")),LOG(INDIRECT("RawMaterials[@[Lab Q Model Units 1]:[Lab Q Model Units "&amp;RawMaterials[[#This Row],[Lab Quote Count]]&amp;"]]"))),"")</f>
        <v/>
      </c>
      <c r="AG534" s="367" t="str">
        <f ca="1">IF(RawMaterials[[#This Row],[Lab Quote Count]]&gt;1,INTERCEPT(LOG(INDIRECT("RawMaterials[@[Lab Unit P 1]:[Lab Unit P "&amp;RawMaterials[[#This Row],[Lab Quote Count]]&amp;"]]")),LOG(INDIRECT("RawMaterials[@[Lab Q Model Units 1]:[Lab Q Model Units "&amp;RawMaterials[[#This Row],[Lab Quote Count]]&amp;"]]"))),"")</f>
        <v/>
      </c>
      <c r="AH534" s="368" t="str">
        <f>IF(RawMaterials[[#This Row],[Material Type]]="Metal Precursor","D13",IF(RawMaterials[[#This Row],[Material Type]]="Ligand","D13","D12"))</f>
        <v>D12</v>
      </c>
      <c r="AI534" s="369" t="str">
        <f ca="1">IF(RawMaterials[[#This Row],[Lab Quote Count]]&gt;1,10^RawMaterials[[#This Row],[Lab Log-Log Intercept]]*INDIRECT(RawMaterials[[#This Row],[Basis Cell]])^RawMaterials[[#This Row],[Lab Log-Log Slope]],"&gt;&gt;&gt; Enter 2 or more lab quotes &lt;&lt;&lt;")</f>
        <v>&gt;&gt;&gt; Enter 2 or more lab quotes &lt;&lt;&lt;</v>
      </c>
      <c r="AJ53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122.5</v>
      </c>
      <c r="AL534" s="372">
        <f>IF(ISTEXT(RawMaterials[[#This Row],[Unit price in quote year]]),"Check calcs",RawMaterials[[#This Row],[Unit price in quote year]]/VLOOKUP(RawMaterials[[#This Row],[Quote Year]],ChemPPI[],14,FALSE)*VLOOKUP(BasisYear,ChemPPI[],14,FALSE))</f>
        <v>166.25889227642281</v>
      </c>
      <c r="AM534" s="373" t="str">
        <f t="shared" si="8"/>
        <v>$/lb (2016)</v>
      </c>
    </row>
    <row r="535" spans="1:39">
      <c r="A535" s="263" t="s">
        <v>1630</v>
      </c>
      <c r="B535" s="264"/>
      <c r="C535" s="271"/>
      <c r="D535" s="365"/>
      <c r="E535" s="264">
        <v>100</v>
      </c>
      <c r="F535" s="264"/>
      <c r="G535" s="271"/>
      <c r="H535" s="271"/>
      <c r="I535" s="268"/>
      <c r="J535" s="271"/>
      <c r="K535" s="271"/>
      <c r="L535" s="271"/>
      <c r="M535" s="271"/>
      <c r="N535" s="271"/>
      <c r="O535" s="271"/>
      <c r="P535" s="265">
        <v>32.25</v>
      </c>
      <c r="Q535" s="264">
        <v>1</v>
      </c>
      <c r="R535" s="264" t="s">
        <v>994</v>
      </c>
      <c r="S535" s="264">
        <v>2006</v>
      </c>
      <c r="T535" s="266" t="s">
        <v>163</v>
      </c>
      <c r="U535" s="267">
        <v>42653</v>
      </c>
      <c r="V535" s="269"/>
      <c r="W535" s="366">
        <f>COUNT(RawMaterials[[#This Row],[Lab Quantity 1]:[Lab Quantity 4]])</f>
        <v>0</v>
      </c>
      <c r="X53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5" s="367" t="e">
        <f>RawMaterials[[#This Row],[Lab Price 1]]/RawMaterials[[#This Row],[Lab Q Model Units 1]]</f>
        <v>#N/A</v>
      </c>
      <c r="AC535" s="367" t="e">
        <f>RawMaterials[[#This Row],[Lab Price 2]]/RawMaterials[[#This Row],[Lab Q Model Units 2]]</f>
        <v>#N/A</v>
      </c>
      <c r="AD535" s="367" t="e">
        <f>RawMaterials[[#This Row],[Lab Price 3]]/RawMaterials[[#This Row],[Lab Q Model Units 3]]</f>
        <v>#N/A</v>
      </c>
      <c r="AE535" s="367" t="e">
        <f>RawMaterials[[#This Row],[Lab Price 4]]/RawMaterials[[#This Row],[Lab Q Model Units 4]]</f>
        <v>#N/A</v>
      </c>
      <c r="AF535" s="367" t="str">
        <f ca="1">IF(RawMaterials[[#This Row],[Lab Quote Count]]&gt;1,SLOPE(LOG(INDIRECT("RawMaterials[@[Lab Unit P 1]:[Lab Unit P "&amp;RawMaterials[[#This Row],[Lab Quote Count]]&amp;"]]")),LOG(INDIRECT("RawMaterials[@[Lab Q Model Units 1]:[Lab Q Model Units "&amp;RawMaterials[[#This Row],[Lab Quote Count]]&amp;"]]"))),"")</f>
        <v/>
      </c>
      <c r="AG535" s="367" t="str">
        <f ca="1">IF(RawMaterials[[#This Row],[Lab Quote Count]]&gt;1,INTERCEPT(LOG(INDIRECT("RawMaterials[@[Lab Unit P 1]:[Lab Unit P "&amp;RawMaterials[[#This Row],[Lab Quote Count]]&amp;"]]")),LOG(INDIRECT("RawMaterials[@[Lab Q Model Units 1]:[Lab Q Model Units "&amp;RawMaterials[[#This Row],[Lab Quote Count]]&amp;"]]"))),"")</f>
        <v/>
      </c>
      <c r="AH535" s="368" t="str">
        <f>IF(RawMaterials[[#This Row],[Material Type]]="Metal Precursor","D13",IF(RawMaterials[[#This Row],[Material Type]]="Ligand","D13","D12"))</f>
        <v>D12</v>
      </c>
      <c r="AI535" s="369" t="str">
        <f ca="1">IF(RawMaterials[[#This Row],[Lab Quote Count]]&gt;1,10^RawMaterials[[#This Row],[Lab Log-Log Intercept]]*INDIRECT(RawMaterials[[#This Row],[Basis Cell]])^RawMaterials[[#This Row],[Lab Log-Log Slope]],"&gt;&gt;&gt; Enter 2 or more lab quotes &lt;&lt;&lt;")</f>
        <v>&gt;&gt;&gt; Enter 2 or more lab quotes &lt;&lt;&lt;</v>
      </c>
      <c r="AJ53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0.32250000000000001</v>
      </c>
      <c r="AL535" s="372">
        <f>IF(ISTEXT(RawMaterials[[#This Row],[Unit price in quote year]]),"Check calcs",RawMaterials[[#This Row],[Unit price in quote year]]/VLOOKUP(RawMaterials[[#This Row],[Quote Year]],ChemPPI[],14,FALSE)*VLOOKUP(BasisYear,ChemPPI[],14,FALSE))</f>
        <v>0.43770198170731717</v>
      </c>
      <c r="AM535" s="373" t="str">
        <f t="shared" si="8"/>
        <v>$/lb (2016)</v>
      </c>
    </row>
    <row r="536" spans="1:39">
      <c r="A536" s="263" t="s">
        <v>1631</v>
      </c>
      <c r="B536" s="264"/>
      <c r="C536" s="271"/>
      <c r="D536" s="365"/>
      <c r="E536" s="264">
        <v>100</v>
      </c>
      <c r="F536" s="264"/>
      <c r="G536" s="271"/>
      <c r="H536" s="271"/>
      <c r="I536" s="268"/>
      <c r="J536" s="271"/>
      <c r="K536" s="271"/>
      <c r="L536" s="271"/>
      <c r="M536" s="271"/>
      <c r="N536" s="271"/>
      <c r="O536" s="271"/>
      <c r="P536" s="265">
        <v>27</v>
      </c>
      <c r="Q536" s="264">
        <v>1</v>
      </c>
      <c r="R536" s="264" t="s">
        <v>20</v>
      </c>
      <c r="S536" s="264">
        <v>2006</v>
      </c>
      <c r="T536" s="266" t="s">
        <v>163</v>
      </c>
      <c r="U536" s="267">
        <v>42653</v>
      </c>
      <c r="V536" s="269"/>
      <c r="W536" s="366">
        <f>COUNT(RawMaterials[[#This Row],[Lab Quantity 1]:[Lab Quantity 4]])</f>
        <v>0</v>
      </c>
      <c r="X53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6" s="367" t="e">
        <f>RawMaterials[[#This Row],[Lab Price 1]]/RawMaterials[[#This Row],[Lab Q Model Units 1]]</f>
        <v>#N/A</v>
      </c>
      <c r="AC536" s="367" t="e">
        <f>RawMaterials[[#This Row],[Lab Price 2]]/RawMaterials[[#This Row],[Lab Q Model Units 2]]</f>
        <v>#N/A</v>
      </c>
      <c r="AD536" s="367" t="e">
        <f>RawMaterials[[#This Row],[Lab Price 3]]/RawMaterials[[#This Row],[Lab Q Model Units 3]]</f>
        <v>#N/A</v>
      </c>
      <c r="AE536" s="367" t="e">
        <f>RawMaterials[[#This Row],[Lab Price 4]]/RawMaterials[[#This Row],[Lab Q Model Units 4]]</f>
        <v>#N/A</v>
      </c>
      <c r="AF536" s="367" t="str">
        <f ca="1">IF(RawMaterials[[#This Row],[Lab Quote Count]]&gt;1,SLOPE(LOG(INDIRECT("RawMaterials[@[Lab Unit P 1]:[Lab Unit P "&amp;RawMaterials[[#This Row],[Lab Quote Count]]&amp;"]]")),LOG(INDIRECT("RawMaterials[@[Lab Q Model Units 1]:[Lab Q Model Units "&amp;RawMaterials[[#This Row],[Lab Quote Count]]&amp;"]]"))),"")</f>
        <v/>
      </c>
      <c r="AG536" s="367" t="str">
        <f ca="1">IF(RawMaterials[[#This Row],[Lab Quote Count]]&gt;1,INTERCEPT(LOG(INDIRECT("RawMaterials[@[Lab Unit P 1]:[Lab Unit P "&amp;RawMaterials[[#This Row],[Lab Quote Count]]&amp;"]]")),LOG(INDIRECT("RawMaterials[@[Lab Q Model Units 1]:[Lab Q Model Units "&amp;RawMaterials[[#This Row],[Lab Quote Count]]&amp;"]]"))),"")</f>
        <v/>
      </c>
      <c r="AH536" s="368" t="str">
        <f>IF(RawMaterials[[#This Row],[Material Type]]="Metal Precursor","D13",IF(RawMaterials[[#This Row],[Material Type]]="Ligand","D13","D12"))</f>
        <v>D12</v>
      </c>
      <c r="AI536" s="369" t="str">
        <f ca="1">IF(RawMaterials[[#This Row],[Lab Quote Count]]&gt;1,10^RawMaterials[[#This Row],[Lab Log-Log Intercept]]*INDIRECT(RawMaterials[[#This Row],[Basis Cell]])^RawMaterials[[#This Row],[Lab Log-Log Slope]],"&gt;&gt;&gt; Enter 2 or more lab quotes &lt;&lt;&lt;")</f>
        <v>&gt;&gt;&gt; Enter 2 or more lab quotes &lt;&lt;&lt;</v>
      </c>
      <c r="AJ53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v>
      </c>
      <c r="AL536" s="372">
        <f>IF(ISTEXT(RawMaterials[[#This Row],[Unit price in quote year]]),"Check calcs",RawMaterials[[#This Row],[Unit price in quote year]]/VLOOKUP(RawMaterials[[#This Row],[Quote Year]],ChemPPI[],14,FALSE)*VLOOKUP(BasisYear,ChemPPI[],14,FALSE))</f>
        <v>36.644817073170735</v>
      </c>
      <c r="AM536" s="373" t="str">
        <f t="shared" si="8"/>
        <v>$/lb (2016)</v>
      </c>
    </row>
    <row r="537" spans="1:39">
      <c r="A537" s="263" t="s">
        <v>1632</v>
      </c>
      <c r="B537" s="264"/>
      <c r="C537" s="271"/>
      <c r="D537" s="365"/>
      <c r="E537" s="264">
        <v>100</v>
      </c>
      <c r="F537" s="264"/>
      <c r="G537" s="271"/>
      <c r="H537" s="271"/>
      <c r="I537" s="268"/>
      <c r="J537" s="271"/>
      <c r="K537" s="271"/>
      <c r="L537" s="271"/>
      <c r="M537" s="271"/>
      <c r="N537" s="271"/>
      <c r="O537" s="271"/>
      <c r="P537" s="265">
        <v>0.23499999999999999</v>
      </c>
      <c r="Q537" s="264">
        <v>1</v>
      </c>
      <c r="R537" s="264" t="s">
        <v>20</v>
      </c>
      <c r="S537" s="264">
        <v>2006</v>
      </c>
      <c r="T537" s="266" t="s">
        <v>163</v>
      </c>
      <c r="U537" s="267">
        <v>42653</v>
      </c>
      <c r="V537" s="269"/>
      <c r="W537" s="366">
        <f>COUNT(RawMaterials[[#This Row],[Lab Quantity 1]:[Lab Quantity 4]])</f>
        <v>0</v>
      </c>
      <c r="X53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7" s="367" t="e">
        <f>RawMaterials[[#This Row],[Lab Price 1]]/RawMaterials[[#This Row],[Lab Q Model Units 1]]</f>
        <v>#N/A</v>
      </c>
      <c r="AC537" s="367" t="e">
        <f>RawMaterials[[#This Row],[Lab Price 2]]/RawMaterials[[#This Row],[Lab Q Model Units 2]]</f>
        <v>#N/A</v>
      </c>
      <c r="AD537" s="367" t="e">
        <f>RawMaterials[[#This Row],[Lab Price 3]]/RawMaterials[[#This Row],[Lab Q Model Units 3]]</f>
        <v>#N/A</v>
      </c>
      <c r="AE537" s="367" t="e">
        <f>RawMaterials[[#This Row],[Lab Price 4]]/RawMaterials[[#This Row],[Lab Q Model Units 4]]</f>
        <v>#N/A</v>
      </c>
      <c r="AF537" s="367" t="str">
        <f ca="1">IF(RawMaterials[[#This Row],[Lab Quote Count]]&gt;1,SLOPE(LOG(INDIRECT("RawMaterials[@[Lab Unit P 1]:[Lab Unit P "&amp;RawMaterials[[#This Row],[Lab Quote Count]]&amp;"]]")),LOG(INDIRECT("RawMaterials[@[Lab Q Model Units 1]:[Lab Q Model Units "&amp;RawMaterials[[#This Row],[Lab Quote Count]]&amp;"]]"))),"")</f>
        <v/>
      </c>
      <c r="AG537" s="367" t="str">
        <f ca="1">IF(RawMaterials[[#This Row],[Lab Quote Count]]&gt;1,INTERCEPT(LOG(INDIRECT("RawMaterials[@[Lab Unit P 1]:[Lab Unit P "&amp;RawMaterials[[#This Row],[Lab Quote Count]]&amp;"]]")),LOG(INDIRECT("RawMaterials[@[Lab Q Model Units 1]:[Lab Q Model Units "&amp;RawMaterials[[#This Row],[Lab Quote Count]]&amp;"]]"))),"")</f>
        <v/>
      </c>
      <c r="AH537" s="368" t="str">
        <f>IF(RawMaterials[[#This Row],[Material Type]]="Metal Precursor","D13",IF(RawMaterials[[#This Row],[Material Type]]="Ligand","D13","D12"))</f>
        <v>D12</v>
      </c>
      <c r="AI537" s="369" t="str">
        <f ca="1">IF(RawMaterials[[#This Row],[Lab Quote Count]]&gt;1,10^RawMaterials[[#This Row],[Lab Log-Log Intercept]]*INDIRECT(RawMaterials[[#This Row],[Basis Cell]])^RawMaterials[[#This Row],[Lab Log-Log Slope]],"&gt;&gt;&gt; Enter 2 or more lab quotes &lt;&lt;&lt;")</f>
        <v>&gt;&gt;&gt; Enter 2 or more lab quotes &lt;&lt;&lt;</v>
      </c>
      <c r="AJ53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3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0.23499999999999999</v>
      </c>
      <c r="AL537" s="372">
        <f>IF(ISTEXT(RawMaterials[[#This Row],[Unit price in quote year]]),"Check calcs",RawMaterials[[#This Row],[Unit price in quote year]]/VLOOKUP(RawMaterials[[#This Row],[Quote Year]],ChemPPI[],14,FALSE)*VLOOKUP(BasisYear,ChemPPI[],14,FALSE))</f>
        <v>0.31894563008130089</v>
      </c>
      <c r="AM537" s="373" t="str">
        <f t="shared" si="8"/>
        <v>$/lb (2016)</v>
      </c>
    </row>
    <row r="538" spans="1:39">
      <c r="A538" s="263" t="s">
        <v>1633</v>
      </c>
      <c r="B538" s="264"/>
      <c r="C538" s="271"/>
      <c r="D538" s="365"/>
      <c r="E538" s="264">
        <v>100</v>
      </c>
      <c r="F538" s="264"/>
      <c r="G538" s="271"/>
      <c r="H538" s="271"/>
      <c r="I538" s="268"/>
      <c r="J538" s="271"/>
      <c r="K538" s="271"/>
      <c r="L538" s="271"/>
      <c r="M538" s="271"/>
      <c r="N538" s="271"/>
      <c r="O538" s="271"/>
      <c r="P538" s="265">
        <v>47.75</v>
      </c>
      <c r="Q538" s="264">
        <v>100</v>
      </c>
      <c r="R538" s="264" t="s">
        <v>20</v>
      </c>
      <c r="S538" s="264">
        <v>2006</v>
      </c>
      <c r="T538" s="266" t="s">
        <v>163</v>
      </c>
      <c r="U538" s="267">
        <v>42653</v>
      </c>
      <c r="V538" s="269"/>
      <c r="W538" s="366">
        <f>COUNT(RawMaterials[[#This Row],[Lab Quantity 1]:[Lab Quantity 4]])</f>
        <v>0</v>
      </c>
      <c r="X53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8" s="367" t="e">
        <f>RawMaterials[[#This Row],[Lab Price 1]]/RawMaterials[[#This Row],[Lab Q Model Units 1]]</f>
        <v>#N/A</v>
      </c>
      <c r="AC538" s="367" t="e">
        <f>RawMaterials[[#This Row],[Lab Price 2]]/RawMaterials[[#This Row],[Lab Q Model Units 2]]</f>
        <v>#N/A</v>
      </c>
      <c r="AD538" s="367" t="e">
        <f>RawMaterials[[#This Row],[Lab Price 3]]/RawMaterials[[#This Row],[Lab Q Model Units 3]]</f>
        <v>#N/A</v>
      </c>
      <c r="AE538" s="367" t="e">
        <f>RawMaterials[[#This Row],[Lab Price 4]]/RawMaterials[[#This Row],[Lab Q Model Units 4]]</f>
        <v>#N/A</v>
      </c>
      <c r="AF538" s="367" t="str">
        <f ca="1">IF(RawMaterials[[#This Row],[Lab Quote Count]]&gt;1,SLOPE(LOG(INDIRECT("RawMaterials[@[Lab Unit P 1]:[Lab Unit P "&amp;RawMaterials[[#This Row],[Lab Quote Count]]&amp;"]]")),LOG(INDIRECT("RawMaterials[@[Lab Q Model Units 1]:[Lab Q Model Units "&amp;RawMaterials[[#This Row],[Lab Quote Count]]&amp;"]]"))),"")</f>
        <v/>
      </c>
      <c r="AG538" s="367" t="str">
        <f ca="1">IF(RawMaterials[[#This Row],[Lab Quote Count]]&gt;1,INTERCEPT(LOG(INDIRECT("RawMaterials[@[Lab Unit P 1]:[Lab Unit P "&amp;RawMaterials[[#This Row],[Lab Quote Count]]&amp;"]]")),LOG(INDIRECT("RawMaterials[@[Lab Q Model Units 1]:[Lab Q Model Units "&amp;RawMaterials[[#This Row],[Lab Quote Count]]&amp;"]]"))),"")</f>
        <v/>
      </c>
      <c r="AH538" s="368" t="str">
        <f>IF(RawMaterials[[#This Row],[Material Type]]="Metal Precursor","D13",IF(RawMaterials[[#This Row],[Material Type]]="Ligand","D13","D12"))</f>
        <v>D12</v>
      </c>
      <c r="AI538" s="369" t="str">
        <f ca="1">IF(RawMaterials[[#This Row],[Lab Quote Count]]&gt;1,10^RawMaterials[[#This Row],[Lab Log-Log Intercept]]*INDIRECT(RawMaterials[[#This Row],[Basis Cell]])^RawMaterials[[#This Row],[Lab Log-Log Slope]],"&gt;&gt;&gt; Enter 2 or more lab quotes &lt;&lt;&lt;")</f>
        <v>&gt;&gt;&gt; Enter 2 or more lab quotes &lt;&lt;&lt;</v>
      </c>
      <c r="AJ53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0.47749999999999998</v>
      </c>
      <c r="AL538" s="372">
        <f>IF(ISTEXT(RawMaterials[[#This Row],[Unit price in quote year]]),"Check calcs",RawMaterials[[#This Row],[Unit price in quote year]]/VLOOKUP(RawMaterials[[#This Row],[Quote Year]],ChemPPI[],14,FALSE)*VLOOKUP(BasisYear,ChemPPI[],14,FALSE))</f>
        <v>0.64807037601626027</v>
      </c>
      <c r="AM538" s="373" t="str">
        <f t="shared" si="8"/>
        <v>$/lb (2016)</v>
      </c>
    </row>
    <row r="539" spans="1:39">
      <c r="A539" s="263" t="s">
        <v>1634</v>
      </c>
      <c r="B539" s="264"/>
      <c r="C539" s="271"/>
      <c r="D539" s="365"/>
      <c r="E539" s="264">
        <v>100</v>
      </c>
      <c r="F539" s="264"/>
      <c r="G539" s="271"/>
      <c r="H539" s="271"/>
      <c r="I539" s="268"/>
      <c r="J539" s="271"/>
      <c r="K539" s="271"/>
      <c r="L539" s="271"/>
      <c r="M539" s="271"/>
      <c r="N539" s="271"/>
      <c r="O539" s="271"/>
      <c r="P539" s="265">
        <v>46.25</v>
      </c>
      <c r="Q539" s="264">
        <v>100</v>
      </c>
      <c r="R539" s="264" t="s">
        <v>20</v>
      </c>
      <c r="S539" s="264">
        <v>2006</v>
      </c>
      <c r="T539" s="266" t="s">
        <v>163</v>
      </c>
      <c r="U539" s="267">
        <v>42653</v>
      </c>
      <c r="V539" s="269"/>
      <c r="W539" s="366">
        <f>COUNT(RawMaterials[[#This Row],[Lab Quantity 1]:[Lab Quantity 4]])</f>
        <v>0</v>
      </c>
      <c r="X53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3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3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3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39" s="367" t="e">
        <f>RawMaterials[[#This Row],[Lab Price 1]]/RawMaterials[[#This Row],[Lab Q Model Units 1]]</f>
        <v>#N/A</v>
      </c>
      <c r="AC539" s="367" t="e">
        <f>RawMaterials[[#This Row],[Lab Price 2]]/RawMaterials[[#This Row],[Lab Q Model Units 2]]</f>
        <v>#N/A</v>
      </c>
      <c r="AD539" s="367" t="e">
        <f>RawMaterials[[#This Row],[Lab Price 3]]/RawMaterials[[#This Row],[Lab Q Model Units 3]]</f>
        <v>#N/A</v>
      </c>
      <c r="AE539" s="367" t="e">
        <f>RawMaterials[[#This Row],[Lab Price 4]]/RawMaterials[[#This Row],[Lab Q Model Units 4]]</f>
        <v>#N/A</v>
      </c>
      <c r="AF539" s="367" t="str">
        <f ca="1">IF(RawMaterials[[#This Row],[Lab Quote Count]]&gt;1,SLOPE(LOG(INDIRECT("RawMaterials[@[Lab Unit P 1]:[Lab Unit P "&amp;RawMaterials[[#This Row],[Lab Quote Count]]&amp;"]]")),LOG(INDIRECT("RawMaterials[@[Lab Q Model Units 1]:[Lab Q Model Units "&amp;RawMaterials[[#This Row],[Lab Quote Count]]&amp;"]]"))),"")</f>
        <v/>
      </c>
      <c r="AG539" s="367" t="str">
        <f ca="1">IF(RawMaterials[[#This Row],[Lab Quote Count]]&gt;1,INTERCEPT(LOG(INDIRECT("RawMaterials[@[Lab Unit P 1]:[Lab Unit P "&amp;RawMaterials[[#This Row],[Lab Quote Count]]&amp;"]]")),LOG(INDIRECT("RawMaterials[@[Lab Q Model Units 1]:[Lab Q Model Units "&amp;RawMaterials[[#This Row],[Lab Quote Count]]&amp;"]]"))),"")</f>
        <v/>
      </c>
      <c r="AH539" s="368" t="str">
        <f>IF(RawMaterials[[#This Row],[Material Type]]="Metal Precursor","D13",IF(RawMaterials[[#This Row],[Material Type]]="Ligand","D13","D12"))</f>
        <v>D12</v>
      </c>
      <c r="AI539" s="369" t="str">
        <f ca="1">IF(RawMaterials[[#This Row],[Lab Quote Count]]&gt;1,10^RawMaterials[[#This Row],[Lab Log-Log Intercept]]*INDIRECT(RawMaterials[[#This Row],[Basis Cell]])^RawMaterials[[#This Row],[Lab Log-Log Slope]],"&gt;&gt;&gt; Enter 2 or more lab quotes &lt;&lt;&lt;")</f>
        <v>&gt;&gt;&gt; Enter 2 or more lab quotes &lt;&lt;&lt;</v>
      </c>
      <c r="AJ53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3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0.46250000000000002</v>
      </c>
      <c r="AL539" s="372">
        <f>IF(ISTEXT(RawMaterials[[#This Row],[Unit price in quote year]]),"Check calcs",RawMaterials[[#This Row],[Unit price in quote year]]/VLOOKUP(RawMaterials[[#This Row],[Quote Year]],ChemPPI[],14,FALSE)*VLOOKUP(BasisYear,ChemPPI[],14,FALSE))</f>
        <v>0.62771214430894318</v>
      </c>
      <c r="AM539" s="373" t="str">
        <f t="shared" si="8"/>
        <v>$/lb (2016)</v>
      </c>
    </row>
    <row r="540" spans="1:39">
      <c r="A540" s="263" t="s">
        <v>1635</v>
      </c>
      <c r="B540" s="264"/>
      <c r="C540" s="271"/>
      <c r="D540" s="365"/>
      <c r="E540" s="264">
        <v>100</v>
      </c>
      <c r="F540" s="264"/>
      <c r="G540" s="271"/>
      <c r="H540" s="271"/>
      <c r="I540" s="268"/>
      <c r="J540" s="271"/>
      <c r="K540" s="271"/>
      <c r="L540" s="271"/>
      <c r="M540" s="271"/>
      <c r="N540" s="271"/>
      <c r="O540" s="271"/>
      <c r="P540" s="265">
        <v>0.34499999999999997</v>
      </c>
      <c r="Q540" s="264">
        <v>100</v>
      </c>
      <c r="R540" s="264" t="s">
        <v>20</v>
      </c>
      <c r="S540" s="264">
        <v>2006</v>
      </c>
      <c r="T540" s="266" t="s">
        <v>163</v>
      </c>
      <c r="U540" s="267">
        <v>42653</v>
      </c>
      <c r="V540" s="269"/>
      <c r="W540" s="366">
        <f>COUNT(RawMaterials[[#This Row],[Lab Quantity 1]:[Lab Quantity 4]])</f>
        <v>0</v>
      </c>
      <c r="X54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0" s="367" t="e">
        <f>RawMaterials[[#This Row],[Lab Price 1]]/RawMaterials[[#This Row],[Lab Q Model Units 1]]</f>
        <v>#N/A</v>
      </c>
      <c r="AC540" s="367" t="e">
        <f>RawMaterials[[#This Row],[Lab Price 2]]/RawMaterials[[#This Row],[Lab Q Model Units 2]]</f>
        <v>#N/A</v>
      </c>
      <c r="AD540" s="367" t="e">
        <f>RawMaterials[[#This Row],[Lab Price 3]]/RawMaterials[[#This Row],[Lab Q Model Units 3]]</f>
        <v>#N/A</v>
      </c>
      <c r="AE540" s="367" t="e">
        <f>RawMaterials[[#This Row],[Lab Price 4]]/RawMaterials[[#This Row],[Lab Q Model Units 4]]</f>
        <v>#N/A</v>
      </c>
      <c r="AF540" s="367" t="str">
        <f ca="1">IF(RawMaterials[[#This Row],[Lab Quote Count]]&gt;1,SLOPE(LOG(INDIRECT("RawMaterials[@[Lab Unit P 1]:[Lab Unit P "&amp;RawMaterials[[#This Row],[Lab Quote Count]]&amp;"]]")),LOG(INDIRECT("RawMaterials[@[Lab Q Model Units 1]:[Lab Q Model Units "&amp;RawMaterials[[#This Row],[Lab Quote Count]]&amp;"]]"))),"")</f>
        <v/>
      </c>
      <c r="AG540" s="367" t="str">
        <f ca="1">IF(RawMaterials[[#This Row],[Lab Quote Count]]&gt;1,INTERCEPT(LOG(INDIRECT("RawMaterials[@[Lab Unit P 1]:[Lab Unit P "&amp;RawMaterials[[#This Row],[Lab Quote Count]]&amp;"]]")),LOG(INDIRECT("RawMaterials[@[Lab Q Model Units 1]:[Lab Q Model Units "&amp;RawMaterials[[#This Row],[Lab Quote Count]]&amp;"]]"))),"")</f>
        <v/>
      </c>
      <c r="AH540" s="368" t="str">
        <f>IF(RawMaterials[[#This Row],[Material Type]]="Metal Precursor","D13",IF(RawMaterials[[#This Row],[Material Type]]="Ligand","D13","D12"))</f>
        <v>D12</v>
      </c>
      <c r="AI540" s="369" t="str">
        <f ca="1">IF(RawMaterials[[#This Row],[Lab Quote Count]]&gt;1,10^RawMaterials[[#This Row],[Lab Log-Log Intercept]]*INDIRECT(RawMaterials[[#This Row],[Basis Cell]])^RawMaterials[[#This Row],[Lab Log-Log Slope]],"&gt;&gt;&gt; Enter 2 or more lab quotes &lt;&lt;&lt;")</f>
        <v>&gt;&gt;&gt; Enter 2 or more lab quotes &lt;&lt;&lt;</v>
      </c>
      <c r="AJ54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100</v>
      </c>
      <c r="AK54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3.4499999999999999E-3</v>
      </c>
      <c r="AL540" s="372">
        <f>IF(ISTEXT(RawMaterials[[#This Row],[Unit price in quote year]]),"Check calcs",RawMaterials[[#This Row],[Unit price in quote year]]/VLOOKUP(RawMaterials[[#This Row],[Quote Year]],ChemPPI[],14,FALSE)*VLOOKUP(BasisYear,ChemPPI[],14,FALSE))</f>
        <v>4.6823932926829273E-3</v>
      </c>
      <c r="AM540" s="373" t="str">
        <f t="shared" si="8"/>
        <v>$/lb (2016)</v>
      </c>
    </row>
    <row r="541" spans="1:39">
      <c r="A541" s="263" t="s">
        <v>1636</v>
      </c>
      <c r="B541" s="264"/>
      <c r="C541" s="271"/>
      <c r="D541" s="365"/>
      <c r="E541" s="264">
        <v>100</v>
      </c>
      <c r="F541" s="264"/>
      <c r="G541" s="271"/>
      <c r="H541" s="271"/>
      <c r="I541" s="268"/>
      <c r="J541" s="271"/>
      <c r="K541" s="271"/>
      <c r="L541" s="271"/>
      <c r="M541" s="271"/>
      <c r="N541" s="271"/>
      <c r="O541" s="271"/>
      <c r="P541" s="265">
        <v>55</v>
      </c>
      <c r="Q541" s="264">
        <v>1</v>
      </c>
      <c r="R541" s="264" t="s">
        <v>20</v>
      </c>
      <c r="S541" s="264">
        <v>2006</v>
      </c>
      <c r="T541" s="266" t="s">
        <v>163</v>
      </c>
      <c r="U541" s="267">
        <v>42653</v>
      </c>
      <c r="V541" s="269"/>
      <c r="W541" s="366">
        <f>COUNT(RawMaterials[[#This Row],[Lab Quantity 1]:[Lab Quantity 4]])</f>
        <v>0</v>
      </c>
      <c r="X54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1" s="367" t="e">
        <f>RawMaterials[[#This Row],[Lab Price 1]]/RawMaterials[[#This Row],[Lab Q Model Units 1]]</f>
        <v>#N/A</v>
      </c>
      <c r="AC541" s="367" t="e">
        <f>RawMaterials[[#This Row],[Lab Price 2]]/RawMaterials[[#This Row],[Lab Q Model Units 2]]</f>
        <v>#N/A</v>
      </c>
      <c r="AD541" s="367" t="e">
        <f>RawMaterials[[#This Row],[Lab Price 3]]/RawMaterials[[#This Row],[Lab Q Model Units 3]]</f>
        <v>#N/A</v>
      </c>
      <c r="AE541" s="367" t="e">
        <f>RawMaterials[[#This Row],[Lab Price 4]]/RawMaterials[[#This Row],[Lab Q Model Units 4]]</f>
        <v>#N/A</v>
      </c>
      <c r="AF541" s="367" t="str">
        <f ca="1">IF(RawMaterials[[#This Row],[Lab Quote Count]]&gt;1,SLOPE(LOG(INDIRECT("RawMaterials[@[Lab Unit P 1]:[Lab Unit P "&amp;RawMaterials[[#This Row],[Lab Quote Count]]&amp;"]]")),LOG(INDIRECT("RawMaterials[@[Lab Q Model Units 1]:[Lab Q Model Units "&amp;RawMaterials[[#This Row],[Lab Quote Count]]&amp;"]]"))),"")</f>
        <v/>
      </c>
      <c r="AG541" s="367" t="str">
        <f ca="1">IF(RawMaterials[[#This Row],[Lab Quote Count]]&gt;1,INTERCEPT(LOG(INDIRECT("RawMaterials[@[Lab Unit P 1]:[Lab Unit P "&amp;RawMaterials[[#This Row],[Lab Quote Count]]&amp;"]]")),LOG(INDIRECT("RawMaterials[@[Lab Q Model Units 1]:[Lab Q Model Units "&amp;RawMaterials[[#This Row],[Lab Quote Count]]&amp;"]]"))),"")</f>
        <v/>
      </c>
      <c r="AH541" s="368" t="str">
        <f>IF(RawMaterials[[#This Row],[Material Type]]="Metal Precursor","D13",IF(RawMaterials[[#This Row],[Material Type]]="Ligand","D13","D12"))</f>
        <v>D12</v>
      </c>
      <c r="AI541" s="369" t="str">
        <f ca="1">IF(RawMaterials[[#This Row],[Lab Quote Count]]&gt;1,10^RawMaterials[[#This Row],[Lab Log-Log Intercept]]*INDIRECT(RawMaterials[[#This Row],[Basis Cell]])^RawMaterials[[#This Row],[Lab Log-Log Slope]],"&gt;&gt;&gt; Enter 2 or more lab quotes &lt;&lt;&lt;")</f>
        <v>&gt;&gt;&gt; Enter 2 or more lab quotes &lt;&lt;&lt;</v>
      </c>
      <c r="AJ54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55</v>
      </c>
      <c r="AL541" s="372">
        <f>IF(ISTEXT(RawMaterials[[#This Row],[Unit price in quote year]]),"Check calcs",RawMaterials[[#This Row],[Unit price in quote year]]/VLOOKUP(RawMaterials[[#This Row],[Quote Year]],ChemPPI[],14,FALSE)*VLOOKUP(BasisYear,ChemPPI[],14,FALSE))</f>
        <v>74.646849593495944</v>
      </c>
      <c r="AM541" s="373" t="str">
        <f t="shared" si="8"/>
        <v>$/lb (2016)</v>
      </c>
    </row>
    <row r="542" spans="1:39">
      <c r="A542" s="263" t="s">
        <v>1637</v>
      </c>
      <c r="B542" s="264"/>
      <c r="C542" s="271"/>
      <c r="D542" s="365"/>
      <c r="E542" s="264">
        <v>100</v>
      </c>
      <c r="F542" s="264"/>
      <c r="G542" s="271"/>
      <c r="H542" s="271"/>
      <c r="I542" s="268"/>
      <c r="J542" s="271"/>
      <c r="K542" s="271"/>
      <c r="L542" s="271"/>
      <c r="M542" s="271"/>
      <c r="N542" s="271"/>
      <c r="O542" s="271"/>
      <c r="P542" s="265">
        <v>4.4000000000000004</v>
      </c>
      <c r="Q542" s="264">
        <v>1</v>
      </c>
      <c r="R542" s="264" t="s">
        <v>20</v>
      </c>
      <c r="S542" s="264">
        <v>2008</v>
      </c>
      <c r="T542" s="266" t="s">
        <v>163</v>
      </c>
      <c r="U542" s="267">
        <v>42653</v>
      </c>
      <c r="V542" s="269"/>
      <c r="W542" s="366">
        <f>COUNT(RawMaterials[[#This Row],[Lab Quantity 1]:[Lab Quantity 4]])</f>
        <v>0</v>
      </c>
      <c r="X54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2" s="367" t="e">
        <f>RawMaterials[[#This Row],[Lab Price 1]]/RawMaterials[[#This Row],[Lab Q Model Units 1]]</f>
        <v>#N/A</v>
      </c>
      <c r="AC542" s="367" t="e">
        <f>RawMaterials[[#This Row],[Lab Price 2]]/RawMaterials[[#This Row],[Lab Q Model Units 2]]</f>
        <v>#N/A</v>
      </c>
      <c r="AD542" s="367" t="e">
        <f>RawMaterials[[#This Row],[Lab Price 3]]/RawMaterials[[#This Row],[Lab Q Model Units 3]]</f>
        <v>#N/A</v>
      </c>
      <c r="AE542" s="367" t="e">
        <f>RawMaterials[[#This Row],[Lab Price 4]]/RawMaterials[[#This Row],[Lab Q Model Units 4]]</f>
        <v>#N/A</v>
      </c>
      <c r="AF542" s="367" t="str">
        <f ca="1">IF(RawMaterials[[#This Row],[Lab Quote Count]]&gt;1,SLOPE(LOG(INDIRECT("RawMaterials[@[Lab Unit P 1]:[Lab Unit P "&amp;RawMaterials[[#This Row],[Lab Quote Count]]&amp;"]]")),LOG(INDIRECT("RawMaterials[@[Lab Q Model Units 1]:[Lab Q Model Units "&amp;RawMaterials[[#This Row],[Lab Quote Count]]&amp;"]]"))),"")</f>
        <v/>
      </c>
      <c r="AG542" s="367" t="str">
        <f ca="1">IF(RawMaterials[[#This Row],[Lab Quote Count]]&gt;1,INTERCEPT(LOG(INDIRECT("RawMaterials[@[Lab Unit P 1]:[Lab Unit P "&amp;RawMaterials[[#This Row],[Lab Quote Count]]&amp;"]]")),LOG(INDIRECT("RawMaterials[@[Lab Q Model Units 1]:[Lab Q Model Units "&amp;RawMaterials[[#This Row],[Lab Quote Count]]&amp;"]]"))),"")</f>
        <v/>
      </c>
      <c r="AH542" s="368" t="str">
        <f>IF(RawMaterials[[#This Row],[Material Type]]="Metal Precursor","D13",IF(RawMaterials[[#This Row],[Material Type]]="Ligand","D13","D12"))</f>
        <v>D12</v>
      </c>
      <c r="AI542" s="369" t="str">
        <f ca="1">IF(RawMaterials[[#This Row],[Lab Quote Count]]&gt;1,10^RawMaterials[[#This Row],[Lab Log-Log Intercept]]*INDIRECT(RawMaterials[[#This Row],[Basis Cell]])^RawMaterials[[#This Row],[Lab Log-Log Slope]],"&gt;&gt;&gt; Enter 2 or more lab quotes &lt;&lt;&lt;")</f>
        <v>&gt;&gt;&gt; Enter 2 or more lab quotes &lt;&lt;&lt;</v>
      </c>
      <c r="AJ54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4.4000000000000004</v>
      </c>
      <c r="AL542" s="372">
        <f>IF(ISTEXT(RawMaterials[[#This Row],[Unit price in quote year]]),"Check calcs",RawMaterials[[#This Row],[Unit price in quote year]]/VLOOKUP(RawMaterials[[#This Row],[Quote Year]],ChemPPI[],14,FALSE)*VLOOKUP(BasisYear,ChemPPI[],14,FALSE))</f>
        <v>5.1498557604528026</v>
      </c>
      <c r="AM542" s="373" t="str">
        <f t="shared" si="8"/>
        <v>$/lb (2016)</v>
      </c>
    </row>
    <row r="543" spans="1:39">
      <c r="A543" s="263" t="s">
        <v>1638</v>
      </c>
      <c r="B543" s="264"/>
      <c r="C543" s="271"/>
      <c r="D543" s="365"/>
      <c r="E543" s="264">
        <v>100</v>
      </c>
      <c r="F543" s="264"/>
      <c r="G543" s="271"/>
      <c r="H543" s="271"/>
      <c r="I543" s="268"/>
      <c r="J543" s="271"/>
      <c r="K543" s="271"/>
      <c r="L543" s="271"/>
      <c r="M543" s="271"/>
      <c r="N543" s="271"/>
      <c r="O543" s="271"/>
      <c r="P543" s="265">
        <v>0.8</v>
      </c>
      <c r="Q543" s="264">
        <v>1</v>
      </c>
      <c r="R543" s="264" t="s">
        <v>20</v>
      </c>
      <c r="S543" s="264">
        <v>2008</v>
      </c>
      <c r="T543" s="266" t="s">
        <v>163</v>
      </c>
      <c r="U543" s="267">
        <v>42653</v>
      </c>
      <c r="V543" s="269"/>
      <c r="W543" s="366">
        <f>COUNT(RawMaterials[[#This Row],[Lab Quantity 1]:[Lab Quantity 4]])</f>
        <v>0</v>
      </c>
      <c r="X54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3" s="367" t="e">
        <f>RawMaterials[[#This Row],[Lab Price 1]]/RawMaterials[[#This Row],[Lab Q Model Units 1]]</f>
        <v>#N/A</v>
      </c>
      <c r="AC543" s="367" t="e">
        <f>RawMaterials[[#This Row],[Lab Price 2]]/RawMaterials[[#This Row],[Lab Q Model Units 2]]</f>
        <v>#N/A</v>
      </c>
      <c r="AD543" s="367" t="e">
        <f>RawMaterials[[#This Row],[Lab Price 3]]/RawMaterials[[#This Row],[Lab Q Model Units 3]]</f>
        <v>#N/A</v>
      </c>
      <c r="AE543" s="367" t="e">
        <f>RawMaterials[[#This Row],[Lab Price 4]]/RawMaterials[[#This Row],[Lab Q Model Units 4]]</f>
        <v>#N/A</v>
      </c>
      <c r="AF543" s="367" t="str">
        <f ca="1">IF(RawMaterials[[#This Row],[Lab Quote Count]]&gt;1,SLOPE(LOG(INDIRECT("RawMaterials[@[Lab Unit P 1]:[Lab Unit P "&amp;RawMaterials[[#This Row],[Lab Quote Count]]&amp;"]]")),LOG(INDIRECT("RawMaterials[@[Lab Q Model Units 1]:[Lab Q Model Units "&amp;RawMaterials[[#This Row],[Lab Quote Count]]&amp;"]]"))),"")</f>
        <v/>
      </c>
      <c r="AG543" s="367" t="str">
        <f ca="1">IF(RawMaterials[[#This Row],[Lab Quote Count]]&gt;1,INTERCEPT(LOG(INDIRECT("RawMaterials[@[Lab Unit P 1]:[Lab Unit P "&amp;RawMaterials[[#This Row],[Lab Quote Count]]&amp;"]]")),LOG(INDIRECT("RawMaterials[@[Lab Q Model Units 1]:[Lab Q Model Units "&amp;RawMaterials[[#This Row],[Lab Quote Count]]&amp;"]]"))),"")</f>
        <v/>
      </c>
      <c r="AH543" s="368" t="str">
        <f>IF(RawMaterials[[#This Row],[Material Type]]="Metal Precursor","D13",IF(RawMaterials[[#This Row],[Material Type]]="Ligand","D13","D12"))</f>
        <v>D12</v>
      </c>
      <c r="AI543" s="369" t="str">
        <f ca="1">IF(RawMaterials[[#This Row],[Lab Quote Count]]&gt;1,10^RawMaterials[[#This Row],[Lab Log-Log Intercept]]*INDIRECT(RawMaterials[[#This Row],[Basis Cell]])^RawMaterials[[#This Row],[Lab Log-Log Slope]],"&gt;&gt;&gt; Enter 2 or more lab quotes &lt;&lt;&lt;")</f>
        <v>&gt;&gt;&gt; Enter 2 or more lab quotes &lt;&lt;&lt;</v>
      </c>
      <c r="AJ54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v>
      </c>
      <c r="AL543" s="372">
        <f>IF(ISTEXT(RawMaterials[[#This Row],[Unit price in quote year]]),"Check calcs",RawMaterials[[#This Row],[Unit price in quote year]]/VLOOKUP(RawMaterials[[#This Row],[Quote Year]],ChemPPI[],14,FALSE)*VLOOKUP(BasisYear,ChemPPI[],14,FALSE))</f>
        <v>0.93633741099141876</v>
      </c>
      <c r="AM543" s="373" t="str">
        <f t="shared" si="8"/>
        <v>$/lb (2016)</v>
      </c>
    </row>
    <row r="544" spans="1:39">
      <c r="A544" s="263" t="s">
        <v>1639</v>
      </c>
      <c r="B544" s="264"/>
      <c r="C544" s="271"/>
      <c r="D544" s="365"/>
      <c r="E544" s="264">
        <v>100</v>
      </c>
      <c r="F544" s="264"/>
      <c r="G544" s="271"/>
      <c r="H544" s="271"/>
      <c r="I544" s="268"/>
      <c r="J544" s="271"/>
      <c r="K544" s="271"/>
      <c r="L544" s="271"/>
      <c r="M544" s="271"/>
      <c r="N544" s="271"/>
      <c r="O544" s="271"/>
      <c r="P544" s="265">
        <v>0.28999999999999998</v>
      </c>
      <c r="Q544" s="264">
        <v>1</v>
      </c>
      <c r="R544" s="264" t="s">
        <v>20</v>
      </c>
      <c r="S544" s="264">
        <v>2008</v>
      </c>
      <c r="T544" s="266" t="s">
        <v>163</v>
      </c>
      <c r="U544" s="267">
        <v>42653</v>
      </c>
      <c r="V544" s="269"/>
      <c r="W544" s="366">
        <f>COUNT(RawMaterials[[#This Row],[Lab Quantity 1]:[Lab Quantity 4]])</f>
        <v>0</v>
      </c>
      <c r="X54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4" s="367" t="e">
        <f>RawMaterials[[#This Row],[Lab Price 1]]/RawMaterials[[#This Row],[Lab Q Model Units 1]]</f>
        <v>#N/A</v>
      </c>
      <c r="AC544" s="367" t="e">
        <f>RawMaterials[[#This Row],[Lab Price 2]]/RawMaterials[[#This Row],[Lab Q Model Units 2]]</f>
        <v>#N/A</v>
      </c>
      <c r="AD544" s="367" t="e">
        <f>RawMaterials[[#This Row],[Lab Price 3]]/RawMaterials[[#This Row],[Lab Q Model Units 3]]</f>
        <v>#N/A</v>
      </c>
      <c r="AE544" s="367" t="e">
        <f>RawMaterials[[#This Row],[Lab Price 4]]/RawMaterials[[#This Row],[Lab Q Model Units 4]]</f>
        <v>#N/A</v>
      </c>
      <c r="AF544" s="367" t="str">
        <f ca="1">IF(RawMaterials[[#This Row],[Lab Quote Count]]&gt;1,SLOPE(LOG(INDIRECT("RawMaterials[@[Lab Unit P 1]:[Lab Unit P "&amp;RawMaterials[[#This Row],[Lab Quote Count]]&amp;"]]")),LOG(INDIRECT("RawMaterials[@[Lab Q Model Units 1]:[Lab Q Model Units "&amp;RawMaterials[[#This Row],[Lab Quote Count]]&amp;"]]"))),"")</f>
        <v/>
      </c>
      <c r="AG544" s="367" t="str">
        <f ca="1">IF(RawMaterials[[#This Row],[Lab Quote Count]]&gt;1,INTERCEPT(LOG(INDIRECT("RawMaterials[@[Lab Unit P 1]:[Lab Unit P "&amp;RawMaterials[[#This Row],[Lab Quote Count]]&amp;"]]")),LOG(INDIRECT("RawMaterials[@[Lab Q Model Units 1]:[Lab Q Model Units "&amp;RawMaterials[[#This Row],[Lab Quote Count]]&amp;"]]"))),"")</f>
        <v/>
      </c>
      <c r="AH544" s="368" t="str">
        <f>IF(RawMaterials[[#This Row],[Material Type]]="Metal Precursor","D13",IF(RawMaterials[[#This Row],[Material Type]]="Ligand","D13","D12"))</f>
        <v>D12</v>
      </c>
      <c r="AI544" s="369" t="str">
        <f ca="1">IF(RawMaterials[[#This Row],[Lab Quote Count]]&gt;1,10^RawMaterials[[#This Row],[Lab Log-Log Intercept]]*INDIRECT(RawMaterials[[#This Row],[Basis Cell]])^RawMaterials[[#This Row],[Lab Log-Log Slope]],"&gt;&gt;&gt; Enter 2 or more lab quotes &lt;&lt;&lt;")</f>
        <v>&gt;&gt;&gt; Enter 2 or more lab quotes &lt;&lt;&lt;</v>
      </c>
      <c r="AJ54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0.28999999999999998</v>
      </c>
      <c r="AL544" s="372">
        <f>IF(ISTEXT(RawMaterials[[#This Row],[Unit price in quote year]]),"Check calcs",RawMaterials[[#This Row],[Unit price in quote year]]/VLOOKUP(RawMaterials[[#This Row],[Quote Year]],ChemPPI[],14,FALSE)*VLOOKUP(BasisYear,ChemPPI[],14,FALSE))</f>
        <v>0.33942231148438923</v>
      </c>
      <c r="AM544" s="373" t="str">
        <f t="shared" si="8"/>
        <v>$/lb (2016)</v>
      </c>
    </row>
    <row r="545" spans="1:39">
      <c r="A545" s="263" t="s">
        <v>1640</v>
      </c>
      <c r="B545" s="264"/>
      <c r="C545" s="271"/>
      <c r="D545" s="365"/>
      <c r="E545" s="264">
        <v>100</v>
      </c>
      <c r="F545" s="264"/>
      <c r="G545" s="271"/>
      <c r="H545" s="271"/>
      <c r="I545" s="268"/>
      <c r="J545" s="271"/>
      <c r="K545" s="271"/>
      <c r="L545" s="271"/>
      <c r="M545" s="271"/>
      <c r="N545" s="271"/>
      <c r="O545" s="271"/>
      <c r="P545" s="265">
        <v>0.77</v>
      </c>
      <c r="Q545" s="264">
        <v>1</v>
      </c>
      <c r="R545" s="264" t="s">
        <v>20</v>
      </c>
      <c r="S545" s="264">
        <v>2008</v>
      </c>
      <c r="T545" s="266" t="s">
        <v>163</v>
      </c>
      <c r="U545" s="267">
        <v>42653</v>
      </c>
      <c r="V545" s="269"/>
      <c r="W545" s="366">
        <f>COUNT(RawMaterials[[#This Row],[Lab Quantity 1]:[Lab Quantity 4]])</f>
        <v>0</v>
      </c>
      <c r="X54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5" s="367" t="e">
        <f>RawMaterials[[#This Row],[Lab Price 1]]/RawMaterials[[#This Row],[Lab Q Model Units 1]]</f>
        <v>#N/A</v>
      </c>
      <c r="AC545" s="367" t="e">
        <f>RawMaterials[[#This Row],[Lab Price 2]]/RawMaterials[[#This Row],[Lab Q Model Units 2]]</f>
        <v>#N/A</v>
      </c>
      <c r="AD545" s="367" t="e">
        <f>RawMaterials[[#This Row],[Lab Price 3]]/RawMaterials[[#This Row],[Lab Q Model Units 3]]</f>
        <v>#N/A</v>
      </c>
      <c r="AE545" s="367" t="e">
        <f>RawMaterials[[#This Row],[Lab Price 4]]/RawMaterials[[#This Row],[Lab Q Model Units 4]]</f>
        <v>#N/A</v>
      </c>
      <c r="AF545" s="367" t="str">
        <f ca="1">IF(RawMaterials[[#This Row],[Lab Quote Count]]&gt;1,SLOPE(LOG(INDIRECT("RawMaterials[@[Lab Unit P 1]:[Lab Unit P "&amp;RawMaterials[[#This Row],[Lab Quote Count]]&amp;"]]")),LOG(INDIRECT("RawMaterials[@[Lab Q Model Units 1]:[Lab Q Model Units "&amp;RawMaterials[[#This Row],[Lab Quote Count]]&amp;"]]"))),"")</f>
        <v/>
      </c>
      <c r="AG545" s="367" t="str">
        <f ca="1">IF(RawMaterials[[#This Row],[Lab Quote Count]]&gt;1,INTERCEPT(LOG(INDIRECT("RawMaterials[@[Lab Unit P 1]:[Lab Unit P "&amp;RawMaterials[[#This Row],[Lab Quote Count]]&amp;"]]")),LOG(INDIRECT("RawMaterials[@[Lab Q Model Units 1]:[Lab Q Model Units "&amp;RawMaterials[[#This Row],[Lab Quote Count]]&amp;"]]"))),"")</f>
        <v/>
      </c>
      <c r="AH545" s="368" t="str">
        <f>IF(RawMaterials[[#This Row],[Material Type]]="Metal Precursor","D13",IF(RawMaterials[[#This Row],[Material Type]]="Ligand","D13","D12"))</f>
        <v>D12</v>
      </c>
      <c r="AI545" s="369" t="str">
        <f ca="1">IF(RawMaterials[[#This Row],[Lab Quote Count]]&gt;1,10^RawMaterials[[#This Row],[Lab Log-Log Intercept]]*INDIRECT(RawMaterials[[#This Row],[Basis Cell]])^RawMaterials[[#This Row],[Lab Log-Log Slope]],"&gt;&gt;&gt; Enter 2 or more lab quotes &lt;&lt;&lt;")</f>
        <v>&gt;&gt;&gt; Enter 2 or more lab quotes &lt;&lt;&lt;</v>
      </c>
      <c r="AJ54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45" s="372">
        <f>IF(ISTEXT(RawMaterials[[#This Row],[Unit price in quote year]]),"Check calcs",RawMaterials[[#This Row],[Unit price in quote year]]/VLOOKUP(RawMaterials[[#This Row],[Quote Year]],ChemPPI[],14,FALSE)*VLOOKUP(BasisYear,ChemPPI[],14,FALSE))</f>
        <v>0.90122475807924052</v>
      </c>
      <c r="AM545" s="373" t="str">
        <f t="shared" si="8"/>
        <v>$/lb (2016)</v>
      </c>
    </row>
    <row r="546" spans="1:39">
      <c r="A546" s="263" t="s">
        <v>1641</v>
      </c>
      <c r="B546" s="264"/>
      <c r="C546" s="271"/>
      <c r="D546" s="365"/>
      <c r="E546" s="264">
        <v>100</v>
      </c>
      <c r="F546" s="264"/>
      <c r="G546" s="271"/>
      <c r="H546" s="271"/>
      <c r="I546" s="268"/>
      <c r="J546" s="271"/>
      <c r="K546" s="271"/>
      <c r="L546" s="271"/>
      <c r="M546" s="271"/>
      <c r="N546" s="271"/>
      <c r="O546" s="271"/>
      <c r="P546" s="265">
        <v>0.28000000000000003</v>
      </c>
      <c r="Q546" s="264">
        <v>1</v>
      </c>
      <c r="R546" s="264" t="s">
        <v>20</v>
      </c>
      <c r="S546" s="264">
        <v>2006</v>
      </c>
      <c r="T546" s="266" t="s">
        <v>163</v>
      </c>
      <c r="U546" s="267">
        <v>42653</v>
      </c>
      <c r="V546" s="269"/>
      <c r="W546" s="366">
        <f>COUNT(RawMaterials[[#This Row],[Lab Quantity 1]:[Lab Quantity 4]])</f>
        <v>0</v>
      </c>
      <c r="X54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6" s="367" t="e">
        <f>RawMaterials[[#This Row],[Lab Price 1]]/RawMaterials[[#This Row],[Lab Q Model Units 1]]</f>
        <v>#N/A</v>
      </c>
      <c r="AC546" s="367" t="e">
        <f>RawMaterials[[#This Row],[Lab Price 2]]/RawMaterials[[#This Row],[Lab Q Model Units 2]]</f>
        <v>#N/A</v>
      </c>
      <c r="AD546" s="367" t="e">
        <f>RawMaterials[[#This Row],[Lab Price 3]]/RawMaterials[[#This Row],[Lab Q Model Units 3]]</f>
        <v>#N/A</v>
      </c>
      <c r="AE546" s="367" t="e">
        <f>RawMaterials[[#This Row],[Lab Price 4]]/RawMaterials[[#This Row],[Lab Q Model Units 4]]</f>
        <v>#N/A</v>
      </c>
      <c r="AF546" s="367" t="str">
        <f ca="1">IF(RawMaterials[[#This Row],[Lab Quote Count]]&gt;1,SLOPE(LOG(INDIRECT("RawMaterials[@[Lab Unit P 1]:[Lab Unit P "&amp;RawMaterials[[#This Row],[Lab Quote Count]]&amp;"]]")),LOG(INDIRECT("RawMaterials[@[Lab Q Model Units 1]:[Lab Q Model Units "&amp;RawMaterials[[#This Row],[Lab Quote Count]]&amp;"]]"))),"")</f>
        <v/>
      </c>
      <c r="AG546" s="367" t="str">
        <f ca="1">IF(RawMaterials[[#This Row],[Lab Quote Count]]&gt;1,INTERCEPT(LOG(INDIRECT("RawMaterials[@[Lab Unit P 1]:[Lab Unit P "&amp;RawMaterials[[#This Row],[Lab Quote Count]]&amp;"]]")),LOG(INDIRECT("RawMaterials[@[Lab Q Model Units 1]:[Lab Q Model Units "&amp;RawMaterials[[#This Row],[Lab Quote Count]]&amp;"]]"))),"")</f>
        <v/>
      </c>
      <c r="AH546" s="368" t="str">
        <f>IF(RawMaterials[[#This Row],[Material Type]]="Metal Precursor","D13",IF(RawMaterials[[#This Row],[Material Type]]="Ligand","D13","D12"))</f>
        <v>D12</v>
      </c>
      <c r="AI546" s="369" t="str">
        <f ca="1">IF(RawMaterials[[#This Row],[Lab Quote Count]]&gt;1,10^RawMaterials[[#This Row],[Lab Log-Log Intercept]]*INDIRECT(RawMaterials[[#This Row],[Basis Cell]])^RawMaterials[[#This Row],[Lab Log-Log Slope]],"&gt;&gt;&gt; Enter 2 or more lab quotes &lt;&lt;&lt;")</f>
        <v>&gt;&gt;&gt; Enter 2 or more lab quotes &lt;&lt;&lt;</v>
      </c>
      <c r="AJ54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4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0.28000000000000003</v>
      </c>
      <c r="AL546" s="372">
        <f>IF(ISTEXT(RawMaterials[[#This Row],[Unit price in quote year]]),"Check calcs",RawMaterials[[#This Row],[Unit price in quote year]]/VLOOKUP(RawMaterials[[#This Row],[Quote Year]],ChemPPI[],14,FALSE)*VLOOKUP(BasisYear,ChemPPI[],14,FALSE))</f>
        <v>0.38002032520325213</v>
      </c>
      <c r="AM546" s="373" t="str">
        <f t="shared" si="8"/>
        <v>$/lb (2016)</v>
      </c>
    </row>
    <row r="547" spans="1:39">
      <c r="A547" s="263" t="s">
        <v>1642</v>
      </c>
      <c r="B547" s="264"/>
      <c r="C547" s="271"/>
      <c r="D547" s="365"/>
      <c r="E547" s="264">
        <v>100</v>
      </c>
      <c r="F547" s="264"/>
      <c r="G547" s="271"/>
      <c r="H547" s="271"/>
      <c r="I547" s="268"/>
      <c r="J547" s="271"/>
      <c r="K547" s="271"/>
      <c r="L547" s="271"/>
      <c r="M547" s="271"/>
      <c r="N547" s="271"/>
      <c r="O547" s="271"/>
      <c r="P547" s="265">
        <v>25</v>
      </c>
      <c r="Q547" s="264">
        <v>1</v>
      </c>
      <c r="R547" s="264" t="s">
        <v>71</v>
      </c>
      <c r="S547" s="264">
        <v>2006</v>
      </c>
      <c r="T547" s="266" t="s">
        <v>163</v>
      </c>
      <c r="U547" s="267">
        <v>42653</v>
      </c>
      <c r="V547" s="269"/>
      <c r="W547" s="366">
        <f>COUNT(RawMaterials[[#This Row],[Lab Quantity 1]:[Lab Quantity 4]])</f>
        <v>0</v>
      </c>
      <c r="X54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7" s="367" t="e">
        <f>RawMaterials[[#This Row],[Lab Price 1]]/RawMaterials[[#This Row],[Lab Q Model Units 1]]</f>
        <v>#N/A</v>
      </c>
      <c r="AC547" s="367" t="e">
        <f>RawMaterials[[#This Row],[Lab Price 2]]/RawMaterials[[#This Row],[Lab Q Model Units 2]]</f>
        <v>#N/A</v>
      </c>
      <c r="AD547" s="367" t="e">
        <f>RawMaterials[[#This Row],[Lab Price 3]]/RawMaterials[[#This Row],[Lab Q Model Units 3]]</f>
        <v>#N/A</v>
      </c>
      <c r="AE547" s="367" t="e">
        <f>RawMaterials[[#This Row],[Lab Price 4]]/RawMaterials[[#This Row],[Lab Q Model Units 4]]</f>
        <v>#N/A</v>
      </c>
      <c r="AF547" s="367" t="str">
        <f ca="1">IF(RawMaterials[[#This Row],[Lab Quote Count]]&gt;1,SLOPE(LOG(INDIRECT("RawMaterials[@[Lab Unit P 1]:[Lab Unit P "&amp;RawMaterials[[#This Row],[Lab Quote Count]]&amp;"]]")),LOG(INDIRECT("RawMaterials[@[Lab Q Model Units 1]:[Lab Q Model Units "&amp;RawMaterials[[#This Row],[Lab Quote Count]]&amp;"]]"))),"")</f>
        <v/>
      </c>
      <c r="AG547" s="367" t="str">
        <f ca="1">IF(RawMaterials[[#This Row],[Lab Quote Count]]&gt;1,INTERCEPT(LOG(INDIRECT("RawMaterials[@[Lab Unit P 1]:[Lab Unit P "&amp;RawMaterials[[#This Row],[Lab Quote Count]]&amp;"]]")),LOG(INDIRECT("RawMaterials[@[Lab Q Model Units 1]:[Lab Q Model Units "&amp;RawMaterials[[#This Row],[Lab Quote Count]]&amp;"]]"))),"")</f>
        <v/>
      </c>
      <c r="AH547" s="368" t="str">
        <f>IF(RawMaterials[[#This Row],[Material Type]]="Metal Precursor","D13",IF(RawMaterials[[#This Row],[Material Type]]="Ligand","D13","D12"))</f>
        <v>D12</v>
      </c>
      <c r="AI547" s="369" t="str">
        <f ca="1">IF(RawMaterials[[#This Row],[Lab Quote Count]]&gt;1,10^RawMaterials[[#This Row],[Lab Log-Log Intercept]]*INDIRECT(RawMaterials[[#This Row],[Basis Cell]])^RawMaterials[[#This Row],[Lab Log-Log Slope]],"&gt;&gt;&gt; Enter 2 or more lab quotes &lt;&lt;&lt;")</f>
        <v>&gt;&gt;&gt; Enter 2 or more lab quotes &lt;&lt;&lt;</v>
      </c>
      <c r="AJ54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11.33980925</v>
      </c>
      <c r="AL547" s="372">
        <f>IF(ISTEXT(RawMaterials[[#This Row],[Unit price in quote year]]),"Check calcs",RawMaterials[[#This Row],[Unit price in quote year]]/VLOOKUP(RawMaterials[[#This Row],[Quote Year]],ChemPPI[],14,FALSE)*VLOOKUP(BasisYear,ChemPPI[],14,FALSE))</f>
        <v>15.390564281885165</v>
      </c>
      <c r="AM547" s="373" t="str">
        <f t="shared" si="8"/>
        <v>$/lb (2016)</v>
      </c>
    </row>
    <row r="548" spans="1:39">
      <c r="A548" s="263" t="s">
        <v>1643</v>
      </c>
      <c r="B548" s="264"/>
      <c r="C548" s="271"/>
      <c r="D548" s="365"/>
      <c r="E548" s="264">
        <v>100</v>
      </c>
      <c r="F548" s="264"/>
      <c r="G548" s="271"/>
      <c r="H548" s="271"/>
      <c r="I548" s="268"/>
      <c r="J548" s="271"/>
      <c r="K548" s="271"/>
      <c r="L548" s="271"/>
      <c r="M548" s="271"/>
      <c r="N548" s="271"/>
      <c r="O548" s="271"/>
      <c r="P548" s="265">
        <v>25.5</v>
      </c>
      <c r="Q548" s="264">
        <v>1</v>
      </c>
      <c r="R548" s="264" t="s">
        <v>71</v>
      </c>
      <c r="S548" s="264">
        <v>2006</v>
      </c>
      <c r="T548" s="266" t="s">
        <v>163</v>
      </c>
      <c r="U548" s="267">
        <v>42653</v>
      </c>
      <c r="V548" s="269"/>
      <c r="W548" s="366">
        <f>COUNT(RawMaterials[[#This Row],[Lab Quantity 1]:[Lab Quantity 4]])</f>
        <v>0</v>
      </c>
      <c r="X54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8" s="367" t="e">
        <f>RawMaterials[[#This Row],[Lab Price 1]]/RawMaterials[[#This Row],[Lab Q Model Units 1]]</f>
        <v>#N/A</v>
      </c>
      <c r="AC548" s="367" t="e">
        <f>RawMaterials[[#This Row],[Lab Price 2]]/RawMaterials[[#This Row],[Lab Q Model Units 2]]</f>
        <v>#N/A</v>
      </c>
      <c r="AD548" s="367" t="e">
        <f>RawMaterials[[#This Row],[Lab Price 3]]/RawMaterials[[#This Row],[Lab Q Model Units 3]]</f>
        <v>#N/A</v>
      </c>
      <c r="AE548" s="367" t="e">
        <f>RawMaterials[[#This Row],[Lab Price 4]]/RawMaterials[[#This Row],[Lab Q Model Units 4]]</f>
        <v>#N/A</v>
      </c>
      <c r="AF548" s="367" t="str">
        <f ca="1">IF(RawMaterials[[#This Row],[Lab Quote Count]]&gt;1,SLOPE(LOG(INDIRECT("RawMaterials[@[Lab Unit P 1]:[Lab Unit P "&amp;RawMaterials[[#This Row],[Lab Quote Count]]&amp;"]]")),LOG(INDIRECT("RawMaterials[@[Lab Q Model Units 1]:[Lab Q Model Units "&amp;RawMaterials[[#This Row],[Lab Quote Count]]&amp;"]]"))),"")</f>
        <v/>
      </c>
      <c r="AG548" s="367" t="str">
        <f ca="1">IF(RawMaterials[[#This Row],[Lab Quote Count]]&gt;1,INTERCEPT(LOG(INDIRECT("RawMaterials[@[Lab Unit P 1]:[Lab Unit P "&amp;RawMaterials[[#This Row],[Lab Quote Count]]&amp;"]]")),LOG(INDIRECT("RawMaterials[@[Lab Q Model Units 1]:[Lab Q Model Units "&amp;RawMaterials[[#This Row],[Lab Quote Count]]&amp;"]]"))),"")</f>
        <v/>
      </c>
      <c r="AH548" s="368" t="str">
        <f>IF(RawMaterials[[#This Row],[Material Type]]="Metal Precursor","D13",IF(RawMaterials[[#This Row],[Material Type]]="Ligand","D13","D12"))</f>
        <v>D12</v>
      </c>
      <c r="AI548" s="369" t="str">
        <f ca="1">IF(RawMaterials[[#This Row],[Lab Quote Count]]&gt;1,10^RawMaterials[[#This Row],[Lab Log-Log Intercept]]*INDIRECT(RawMaterials[[#This Row],[Basis Cell]])^RawMaterials[[#This Row],[Lab Log-Log Slope]],"&gt;&gt;&gt; Enter 2 or more lab quotes &lt;&lt;&lt;")</f>
        <v>&gt;&gt;&gt; Enter 2 or more lab quotes &lt;&lt;&lt;</v>
      </c>
      <c r="AJ54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11.566605435000001</v>
      </c>
      <c r="AL548" s="372">
        <f>IF(ISTEXT(RawMaterials[[#This Row],[Unit price in quote year]]),"Check calcs",RawMaterials[[#This Row],[Unit price in quote year]]/VLOOKUP(RawMaterials[[#This Row],[Quote Year]],ChemPPI[],14,FALSE)*VLOOKUP(BasisYear,ChemPPI[],14,FALSE))</f>
        <v>15.69837556752287</v>
      </c>
      <c r="AM548" s="373" t="str">
        <f t="shared" si="8"/>
        <v>$/lb (2016)</v>
      </c>
    </row>
    <row r="549" spans="1:39">
      <c r="A549" s="263" t="s">
        <v>1644</v>
      </c>
      <c r="B549" s="264"/>
      <c r="C549" s="271"/>
      <c r="D549" s="365"/>
      <c r="E549" s="264">
        <v>100</v>
      </c>
      <c r="F549" s="264"/>
      <c r="G549" s="271"/>
      <c r="H549" s="271"/>
      <c r="I549" s="268"/>
      <c r="J549" s="271"/>
      <c r="K549" s="271"/>
      <c r="L549" s="271"/>
      <c r="M549" s="271"/>
      <c r="N549" s="271"/>
      <c r="O549" s="271"/>
      <c r="P549" s="265">
        <v>0.39860000000000001</v>
      </c>
      <c r="Q549" s="264">
        <v>1</v>
      </c>
      <c r="R549" s="264" t="s">
        <v>71</v>
      </c>
      <c r="S549" s="264">
        <v>2006</v>
      </c>
      <c r="T549" s="266" t="s">
        <v>163</v>
      </c>
      <c r="U549" s="267">
        <v>42653</v>
      </c>
      <c r="V549" s="269"/>
      <c r="W549" s="366">
        <f>COUNT(RawMaterials[[#This Row],[Lab Quantity 1]:[Lab Quantity 4]])</f>
        <v>0</v>
      </c>
      <c r="X54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4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4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4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49" s="367" t="e">
        <f>RawMaterials[[#This Row],[Lab Price 1]]/RawMaterials[[#This Row],[Lab Q Model Units 1]]</f>
        <v>#N/A</v>
      </c>
      <c r="AC549" s="367" t="e">
        <f>RawMaterials[[#This Row],[Lab Price 2]]/RawMaterials[[#This Row],[Lab Q Model Units 2]]</f>
        <v>#N/A</v>
      </c>
      <c r="AD549" s="367" t="e">
        <f>RawMaterials[[#This Row],[Lab Price 3]]/RawMaterials[[#This Row],[Lab Q Model Units 3]]</f>
        <v>#N/A</v>
      </c>
      <c r="AE549" s="367" t="e">
        <f>RawMaterials[[#This Row],[Lab Price 4]]/RawMaterials[[#This Row],[Lab Q Model Units 4]]</f>
        <v>#N/A</v>
      </c>
      <c r="AF549" s="367" t="str">
        <f ca="1">IF(RawMaterials[[#This Row],[Lab Quote Count]]&gt;1,SLOPE(LOG(INDIRECT("RawMaterials[@[Lab Unit P 1]:[Lab Unit P "&amp;RawMaterials[[#This Row],[Lab Quote Count]]&amp;"]]")),LOG(INDIRECT("RawMaterials[@[Lab Q Model Units 1]:[Lab Q Model Units "&amp;RawMaterials[[#This Row],[Lab Quote Count]]&amp;"]]"))),"")</f>
        <v/>
      </c>
      <c r="AG549" s="367" t="str">
        <f ca="1">IF(RawMaterials[[#This Row],[Lab Quote Count]]&gt;1,INTERCEPT(LOG(INDIRECT("RawMaterials[@[Lab Unit P 1]:[Lab Unit P "&amp;RawMaterials[[#This Row],[Lab Quote Count]]&amp;"]]")),LOG(INDIRECT("RawMaterials[@[Lab Q Model Units 1]:[Lab Q Model Units "&amp;RawMaterials[[#This Row],[Lab Quote Count]]&amp;"]]"))),"")</f>
        <v/>
      </c>
      <c r="AH549" s="368" t="str">
        <f>IF(RawMaterials[[#This Row],[Material Type]]="Metal Precursor","D13",IF(RawMaterials[[#This Row],[Material Type]]="Ligand","D13","D12"))</f>
        <v>D12</v>
      </c>
      <c r="AI549" s="369" t="str">
        <f ca="1">IF(RawMaterials[[#This Row],[Lab Quote Count]]&gt;1,10^RawMaterials[[#This Row],[Lab Log-Log Intercept]]*INDIRECT(RawMaterials[[#This Row],[Basis Cell]])^RawMaterials[[#This Row],[Lab Log-Log Slope]],"&gt;&gt;&gt; Enter 2 or more lab quotes &lt;&lt;&lt;")</f>
        <v>&gt;&gt;&gt; Enter 2 or more lab quotes &lt;&lt;&lt;</v>
      </c>
      <c r="AJ54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4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0.18080191868200002</v>
      </c>
      <c r="AL549" s="372">
        <f>IF(ISTEXT(RawMaterials[[#This Row],[Unit price in quote year]]),"Check calcs",RawMaterials[[#This Row],[Unit price in quote year]]/VLOOKUP(RawMaterials[[#This Row],[Quote Year]],ChemPPI[],14,FALSE)*VLOOKUP(BasisYear,ChemPPI[],14,FALSE))</f>
        <v>0.2453871569103771</v>
      </c>
      <c r="AM549" s="373" t="str">
        <f t="shared" si="8"/>
        <v>$/lb (2016)</v>
      </c>
    </row>
    <row r="550" spans="1:39">
      <c r="A550" s="263" t="s">
        <v>1645</v>
      </c>
      <c r="B550" s="264"/>
      <c r="C550" s="271"/>
      <c r="D550" s="365"/>
      <c r="E550" s="264">
        <v>100</v>
      </c>
      <c r="F550" s="264"/>
      <c r="G550" s="271"/>
      <c r="H550" s="271"/>
      <c r="I550" s="268"/>
      <c r="J550" s="271"/>
      <c r="K550" s="271"/>
      <c r="L550" s="271"/>
      <c r="M550" s="271"/>
      <c r="N550" s="271"/>
      <c r="O550" s="271"/>
      <c r="P550" s="265">
        <v>32</v>
      </c>
      <c r="Q550" s="264">
        <v>1</v>
      </c>
      <c r="R550" s="264" t="s">
        <v>71</v>
      </c>
      <c r="S550" s="264">
        <v>2006</v>
      </c>
      <c r="T550" s="266" t="s">
        <v>163</v>
      </c>
      <c r="U550" s="267">
        <v>42653</v>
      </c>
      <c r="V550" s="269"/>
      <c r="W550" s="366">
        <f>COUNT(RawMaterials[[#This Row],[Lab Quantity 1]:[Lab Quantity 4]])</f>
        <v>0</v>
      </c>
      <c r="X55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0" s="367" t="e">
        <f>RawMaterials[[#This Row],[Lab Price 1]]/RawMaterials[[#This Row],[Lab Q Model Units 1]]</f>
        <v>#N/A</v>
      </c>
      <c r="AC550" s="367" t="e">
        <f>RawMaterials[[#This Row],[Lab Price 2]]/RawMaterials[[#This Row],[Lab Q Model Units 2]]</f>
        <v>#N/A</v>
      </c>
      <c r="AD550" s="367" t="e">
        <f>RawMaterials[[#This Row],[Lab Price 3]]/RawMaterials[[#This Row],[Lab Q Model Units 3]]</f>
        <v>#N/A</v>
      </c>
      <c r="AE550" s="367" t="e">
        <f>RawMaterials[[#This Row],[Lab Price 4]]/RawMaterials[[#This Row],[Lab Q Model Units 4]]</f>
        <v>#N/A</v>
      </c>
      <c r="AF550" s="367" t="str">
        <f ca="1">IF(RawMaterials[[#This Row],[Lab Quote Count]]&gt;1,SLOPE(LOG(INDIRECT("RawMaterials[@[Lab Unit P 1]:[Lab Unit P "&amp;RawMaterials[[#This Row],[Lab Quote Count]]&amp;"]]")),LOG(INDIRECT("RawMaterials[@[Lab Q Model Units 1]:[Lab Q Model Units "&amp;RawMaterials[[#This Row],[Lab Quote Count]]&amp;"]]"))),"")</f>
        <v/>
      </c>
      <c r="AG550" s="367" t="str">
        <f ca="1">IF(RawMaterials[[#This Row],[Lab Quote Count]]&gt;1,INTERCEPT(LOG(INDIRECT("RawMaterials[@[Lab Unit P 1]:[Lab Unit P "&amp;RawMaterials[[#This Row],[Lab Quote Count]]&amp;"]]")),LOG(INDIRECT("RawMaterials[@[Lab Q Model Units 1]:[Lab Q Model Units "&amp;RawMaterials[[#This Row],[Lab Quote Count]]&amp;"]]"))),"")</f>
        <v/>
      </c>
      <c r="AH550" s="368" t="str">
        <f>IF(RawMaterials[[#This Row],[Material Type]]="Metal Precursor","D13",IF(RawMaterials[[#This Row],[Material Type]]="Ligand","D13","D12"))</f>
        <v>D12</v>
      </c>
      <c r="AI550" s="369" t="str">
        <f ca="1">IF(RawMaterials[[#This Row],[Lab Quote Count]]&gt;1,10^RawMaterials[[#This Row],[Lab Log-Log Intercept]]*INDIRECT(RawMaterials[[#This Row],[Basis Cell]])^RawMaterials[[#This Row],[Lab Log-Log Slope]],"&gt;&gt;&gt; Enter 2 or more lab quotes &lt;&lt;&lt;")</f>
        <v>&gt;&gt;&gt; Enter 2 or more lab quotes &lt;&lt;&lt;</v>
      </c>
      <c r="AJ55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55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14.514955840000001</v>
      </c>
      <c r="AL550" s="372">
        <f>IF(ISTEXT(RawMaterials[[#This Row],[Unit price in quote year]]),"Check calcs",RawMaterials[[#This Row],[Unit price in quote year]]/VLOOKUP(RawMaterials[[#This Row],[Quote Year]],ChemPPI[],14,FALSE)*VLOOKUP(BasisYear,ChemPPI[],14,FALSE))</f>
        <v>19.699922280813013</v>
      </c>
      <c r="AM550" s="373" t="str">
        <f t="shared" si="8"/>
        <v>$/lb (2016)</v>
      </c>
    </row>
    <row r="551" spans="1:39">
      <c r="A551" s="263" t="s">
        <v>1646</v>
      </c>
      <c r="B551" s="264"/>
      <c r="C551" s="271"/>
      <c r="D551" s="365"/>
      <c r="E551" s="264">
        <v>100</v>
      </c>
      <c r="F551" s="264"/>
      <c r="G551" s="271"/>
      <c r="H551" s="271"/>
      <c r="I551" s="268"/>
      <c r="J551" s="271"/>
      <c r="K551" s="271"/>
      <c r="L551" s="271"/>
      <c r="M551" s="271"/>
      <c r="N551" s="271"/>
      <c r="O551" s="271"/>
      <c r="P551" s="265">
        <v>28</v>
      </c>
      <c r="Q551" s="264">
        <v>1</v>
      </c>
      <c r="R551" s="264" t="s">
        <v>20</v>
      </c>
      <c r="S551" s="264">
        <v>2006</v>
      </c>
      <c r="T551" s="266" t="s">
        <v>163</v>
      </c>
      <c r="U551" s="267">
        <v>42653</v>
      </c>
      <c r="V551" s="269"/>
      <c r="W551" s="366">
        <f>COUNT(RawMaterials[[#This Row],[Lab Quantity 1]:[Lab Quantity 4]])</f>
        <v>0</v>
      </c>
      <c r="X55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1" s="367" t="e">
        <f>RawMaterials[[#This Row],[Lab Price 1]]/RawMaterials[[#This Row],[Lab Q Model Units 1]]</f>
        <v>#N/A</v>
      </c>
      <c r="AC551" s="367" t="e">
        <f>RawMaterials[[#This Row],[Lab Price 2]]/RawMaterials[[#This Row],[Lab Q Model Units 2]]</f>
        <v>#N/A</v>
      </c>
      <c r="AD551" s="367" t="e">
        <f>RawMaterials[[#This Row],[Lab Price 3]]/RawMaterials[[#This Row],[Lab Q Model Units 3]]</f>
        <v>#N/A</v>
      </c>
      <c r="AE551" s="367" t="e">
        <f>RawMaterials[[#This Row],[Lab Price 4]]/RawMaterials[[#This Row],[Lab Q Model Units 4]]</f>
        <v>#N/A</v>
      </c>
      <c r="AF551" s="367" t="str">
        <f ca="1">IF(RawMaterials[[#This Row],[Lab Quote Count]]&gt;1,SLOPE(LOG(INDIRECT("RawMaterials[@[Lab Unit P 1]:[Lab Unit P "&amp;RawMaterials[[#This Row],[Lab Quote Count]]&amp;"]]")),LOG(INDIRECT("RawMaterials[@[Lab Q Model Units 1]:[Lab Q Model Units "&amp;RawMaterials[[#This Row],[Lab Quote Count]]&amp;"]]"))),"")</f>
        <v/>
      </c>
      <c r="AG551" s="367" t="str">
        <f ca="1">IF(RawMaterials[[#This Row],[Lab Quote Count]]&gt;1,INTERCEPT(LOG(INDIRECT("RawMaterials[@[Lab Unit P 1]:[Lab Unit P "&amp;RawMaterials[[#This Row],[Lab Quote Count]]&amp;"]]")),LOG(INDIRECT("RawMaterials[@[Lab Q Model Units 1]:[Lab Q Model Units "&amp;RawMaterials[[#This Row],[Lab Quote Count]]&amp;"]]"))),"")</f>
        <v/>
      </c>
      <c r="AH551" s="368" t="str">
        <f>IF(RawMaterials[[#This Row],[Material Type]]="Metal Precursor","D13",IF(RawMaterials[[#This Row],[Material Type]]="Ligand","D13","D12"))</f>
        <v>D12</v>
      </c>
      <c r="AI551" s="369" t="str">
        <f ca="1">IF(RawMaterials[[#This Row],[Lab Quote Count]]&gt;1,10^RawMaterials[[#This Row],[Lab Log-Log Intercept]]*INDIRECT(RawMaterials[[#This Row],[Basis Cell]])^RawMaterials[[#This Row],[Lab Log-Log Slope]],"&gt;&gt;&gt; Enter 2 or more lab quotes &lt;&lt;&lt;")</f>
        <v>&gt;&gt;&gt; Enter 2 or more lab quotes &lt;&lt;&lt;</v>
      </c>
      <c r="AJ55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v>
      </c>
      <c r="AL551" s="372">
        <f>IF(ISTEXT(RawMaterials[[#This Row],[Unit price in quote year]]),"Check calcs",RawMaterials[[#This Row],[Unit price in quote year]]/VLOOKUP(RawMaterials[[#This Row],[Quote Year]],ChemPPI[],14,FALSE)*VLOOKUP(BasisYear,ChemPPI[],14,FALSE))</f>
        <v>38.002032520325216</v>
      </c>
      <c r="AM551" s="373" t="str">
        <f t="shared" si="8"/>
        <v>$/lb (2016)</v>
      </c>
    </row>
    <row r="552" spans="1:39">
      <c r="A552" s="263" t="s">
        <v>1647</v>
      </c>
      <c r="B552" s="264"/>
      <c r="C552" s="271"/>
      <c r="D552" s="365"/>
      <c r="E552" s="264">
        <v>100</v>
      </c>
      <c r="F552" s="264"/>
      <c r="G552" s="271"/>
      <c r="H552" s="271"/>
      <c r="I552" s="268"/>
      <c r="J552" s="271"/>
      <c r="K552" s="271"/>
      <c r="L552" s="271"/>
      <c r="M552" s="271"/>
      <c r="N552" s="271"/>
      <c r="O552" s="271"/>
      <c r="P552" s="265">
        <v>0.40149999999999902</v>
      </c>
      <c r="Q552" s="264">
        <v>1</v>
      </c>
      <c r="R552" s="264" t="s">
        <v>20</v>
      </c>
      <c r="S552" s="264">
        <v>2006</v>
      </c>
      <c r="T552" s="266" t="s">
        <v>163</v>
      </c>
      <c r="U552" s="267">
        <v>42653</v>
      </c>
      <c r="V552" s="269"/>
      <c r="W552" s="366">
        <f>COUNT(RawMaterials[[#This Row],[Lab Quantity 1]:[Lab Quantity 4]])</f>
        <v>0</v>
      </c>
      <c r="X55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2" s="367" t="e">
        <f>RawMaterials[[#This Row],[Lab Price 1]]/RawMaterials[[#This Row],[Lab Q Model Units 1]]</f>
        <v>#N/A</v>
      </c>
      <c r="AC552" s="367" t="e">
        <f>RawMaterials[[#This Row],[Lab Price 2]]/RawMaterials[[#This Row],[Lab Q Model Units 2]]</f>
        <v>#N/A</v>
      </c>
      <c r="AD552" s="367" t="e">
        <f>RawMaterials[[#This Row],[Lab Price 3]]/RawMaterials[[#This Row],[Lab Q Model Units 3]]</f>
        <v>#N/A</v>
      </c>
      <c r="AE552" s="367" t="e">
        <f>RawMaterials[[#This Row],[Lab Price 4]]/RawMaterials[[#This Row],[Lab Q Model Units 4]]</f>
        <v>#N/A</v>
      </c>
      <c r="AF552" s="367" t="str">
        <f ca="1">IF(RawMaterials[[#This Row],[Lab Quote Count]]&gt;1,SLOPE(LOG(INDIRECT("RawMaterials[@[Lab Unit P 1]:[Lab Unit P "&amp;RawMaterials[[#This Row],[Lab Quote Count]]&amp;"]]")),LOG(INDIRECT("RawMaterials[@[Lab Q Model Units 1]:[Lab Q Model Units "&amp;RawMaterials[[#This Row],[Lab Quote Count]]&amp;"]]"))),"")</f>
        <v/>
      </c>
      <c r="AG552" s="367" t="str">
        <f ca="1">IF(RawMaterials[[#This Row],[Lab Quote Count]]&gt;1,INTERCEPT(LOG(INDIRECT("RawMaterials[@[Lab Unit P 1]:[Lab Unit P "&amp;RawMaterials[[#This Row],[Lab Quote Count]]&amp;"]]")),LOG(INDIRECT("RawMaterials[@[Lab Q Model Units 1]:[Lab Q Model Units "&amp;RawMaterials[[#This Row],[Lab Quote Count]]&amp;"]]"))),"")</f>
        <v/>
      </c>
      <c r="AH552" s="368" t="str">
        <f>IF(RawMaterials[[#This Row],[Material Type]]="Metal Precursor","D13",IF(RawMaterials[[#This Row],[Material Type]]="Ligand","D13","D12"))</f>
        <v>D12</v>
      </c>
      <c r="AI552" s="369" t="str">
        <f ca="1">IF(RawMaterials[[#This Row],[Lab Quote Count]]&gt;1,10^RawMaterials[[#This Row],[Lab Log-Log Intercept]]*INDIRECT(RawMaterials[[#This Row],[Basis Cell]])^RawMaterials[[#This Row],[Lab Log-Log Slope]],"&gt;&gt;&gt; Enter 2 or more lab quotes &lt;&lt;&lt;")</f>
        <v>&gt;&gt;&gt; Enter 2 or more lab quotes &lt;&lt;&lt;</v>
      </c>
      <c r="AJ55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0.40149999999999902</v>
      </c>
      <c r="AL552" s="372">
        <f>IF(ISTEXT(RawMaterials[[#This Row],[Unit price in quote year]]),"Check calcs",RawMaterials[[#This Row],[Unit price in quote year]]/VLOOKUP(RawMaterials[[#This Row],[Quote Year]],ChemPPI[],14,FALSE)*VLOOKUP(BasisYear,ChemPPI[],14,FALSE))</f>
        <v>0.54492200203251906</v>
      </c>
      <c r="AM552" s="373" t="str">
        <f t="shared" si="8"/>
        <v>$/lb (2016)</v>
      </c>
    </row>
    <row r="553" spans="1:39">
      <c r="A553" s="263" t="s">
        <v>1648</v>
      </c>
      <c r="B553" s="264"/>
      <c r="C553" s="271"/>
      <c r="D553" s="264"/>
      <c r="E553" s="264">
        <v>100</v>
      </c>
      <c r="F553" s="264"/>
      <c r="G553" s="271"/>
      <c r="H553" s="271"/>
      <c r="I553" s="268"/>
      <c r="J553" s="271"/>
      <c r="K553" s="271"/>
      <c r="L553" s="271"/>
      <c r="M553" s="271"/>
      <c r="N553" s="271"/>
      <c r="O553" s="271"/>
      <c r="P553" s="265">
        <v>0.29499999999999998</v>
      </c>
      <c r="Q553" s="264">
        <v>1</v>
      </c>
      <c r="R553" s="264" t="s">
        <v>20</v>
      </c>
      <c r="S553" s="264">
        <v>2006</v>
      </c>
      <c r="T553" s="266" t="s">
        <v>163</v>
      </c>
      <c r="U553" s="267">
        <v>42653</v>
      </c>
      <c r="V553" s="269"/>
      <c r="W553" s="366">
        <f>COUNT(RawMaterials[[#This Row],[Lab Quantity 1]:[Lab Quantity 4]])</f>
        <v>0</v>
      </c>
      <c r="X55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3" s="367" t="e">
        <f>RawMaterials[[#This Row],[Lab Price 1]]/RawMaterials[[#This Row],[Lab Q Model Units 1]]</f>
        <v>#N/A</v>
      </c>
      <c r="AC553" s="367" t="e">
        <f>RawMaterials[[#This Row],[Lab Price 2]]/RawMaterials[[#This Row],[Lab Q Model Units 2]]</f>
        <v>#N/A</v>
      </c>
      <c r="AD553" s="367" t="e">
        <f>RawMaterials[[#This Row],[Lab Price 3]]/RawMaterials[[#This Row],[Lab Q Model Units 3]]</f>
        <v>#N/A</v>
      </c>
      <c r="AE553" s="367" t="e">
        <f>RawMaterials[[#This Row],[Lab Price 4]]/RawMaterials[[#This Row],[Lab Q Model Units 4]]</f>
        <v>#N/A</v>
      </c>
      <c r="AF553" s="367" t="str">
        <f ca="1">IF(RawMaterials[[#This Row],[Lab Quote Count]]&gt;1,SLOPE(LOG(INDIRECT("RawMaterials[@[Lab Unit P 1]:[Lab Unit P "&amp;RawMaterials[[#This Row],[Lab Quote Count]]&amp;"]]")),LOG(INDIRECT("RawMaterials[@[Lab Q Model Units 1]:[Lab Q Model Units "&amp;RawMaterials[[#This Row],[Lab Quote Count]]&amp;"]]"))),"")</f>
        <v/>
      </c>
      <c r="AG553" s="367" t="str">
        <f ca="1">IF(RawMaterials[[#This Row],[Lab Quote Count]]&gt;1,INTERCEPT(LOG(INDIRECT("RawMaterials[@[Lab Unit P 1]:[Lab Unit P "&amp;RawMaterials[[#This Row],[Lab Quote Count]]&amp;"]]")),LOG(INDIRECT("RawMaterials[@[Lab Q Model Units 1]:[Lab Q Model Units "&amp;RawMaterials[[#This Row],[Lab Quote Count]]&amp;"]]"))),"")</f>
        <v/>
      </c>
      <c r="AH553" s="368" t="str">
        <f>IF(RawMaterials[[#This Row],[Material Type]]="Metal Precursor","D13",IF(RawMaterials[[#This Row],[Material Type]]="Ligand","D13","D12"))</f>
        <v>D12</v>
      </c>
      <c r="AI553" s="369" t="str">
        <f ca="1">IF(RawMaterials[[#This Row],[Lab Quote Count]]&gt;1,10^RawMaterials[[#This Row],[Lab Log-Log Intercept]]*INDIRECT(RawMaterials[[#This Row],[Basis Cell]])^RawMaterials[[#This Row],[Lab Log-Log Slope]],"&gt;&gt;&gt; Enter 2 or more lab quotes &lt;&lt;&lt;")</f>
        <v>&gt;&gt;&gt; Enter 2 or more lab quotes &lt;&lt;&lt;</v>
      </c>
      <c r="AJ55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553" s="372">
        <f>IF(ISTEXT(RawMaterials[[#This Row],[Unit price in quote year]]),"Check calcs",RawMaterials[[#This Row],[Unit price in quote year]]/VLOOKUP(RawMaterials[[#This Row],[Quote Year]],ChemPPI[],14,FALSE)*VLOOKUP(BasisYear,ChemPPI[],14,FALSE))</f>
        <v>0.40037855691056912</v>
      </c>
      <c r="AM553" s="373" t="str">
        <f t="shared" si="8"/>
        <v>$/lb (2016)</v>
      </c>
    </row>
    <row r="554" spans="1:39">
      <c r="A554" s="263" t="s">
        <v>1649</v>
      </c>
      <c r="B554" s="264"/>
      <c r="C554" s="271"/>
      <c r="D554" s="365"/>
      <c r="E554" s="264">
        <v>100</v>
      </c>
      <c r="F554" s="264"/>
      <c r="G554" s="271"/>
      <c r="H554" s="271"/>
      <c r="I554" s="268"/>
      <c r="J554" s="271"/>
      <c r="K554" s="271"/>
      <c r="L554" s="271"/>
      <c r="M554" s="271"/>
      <c r="N554" s="271"/>
      <c r="O554" s="271"/>
      <c r="P554" s="265">
        <v>0.42</v>
      </c>
      <c r="Q554" s="264">
        <v>1</v>
      </c>
      <c r="R554" s="264" t="s">
        <v>20</v>
      </c>
      <c r="S554" s="264">
        <v>2008</v>
      </c>
      <c r="T554" s="266" t="s">
        <v>163</v>
      </c>
      <c r="U554" s="267">
        <v>42653</v>
      </c>
      <c r="V554" s="269"/>
      <c r="W554" s="366">
        <f>COUNT(RawMaterials[[#This Row],[Lab Quantity 1]:[Lab Quantity 4]])</f>
        <v>0</v>
      </c>
      <c r="X55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4" s="367" t="e">
        <f>RawMaterials[[#This Row],[Lab Price 1]]/RawMaterials[[#This Row],[Lab Q Model Units 1]]</f>
        <v>#N/A</v>
      </c>
      <c r="AC554" s="367" t="e">
        <f>RawMaterials[[#This Row],[Lab Price 2]]/RawMaterials[[#This Row],[Lab Q Model Units 2]]</f>
        <v>#N/A</v>
      </c>
      <c r="AD554" s="367" t="e">
        <f>RawMaterials[[#This Row],[Lab Price 3]]/RawMaterials[[#This Row],[Lab Q Model Units 3]]</f>
        <v>#N/A</v>
      </c>
      <c r="AE554" s="367" t="e">
        <f>RawMaterials[[#This Row],[Lab Price 4]]/RawMaterials[[#This Row],[Lab Q Model Units 4]]</f>
        <v>#N/A</v>
      </c>
      <c r="AF554" s="367" t="str">
        <f ca="1">IF(RawMaterials[[#This Row],[Lab Quote Count]]&gt;1,SLOPE(LOG(INDIRECT("RawMaterials[@[Lab Unit P 1]:[Lab Unit P "&amp;RawMaterials[[#This Row],[Lab Quote Count]]&amp;"]]")),LOG(INDIRECT("RawMaterials[@[Lab Q Model Units 1]:[Lab Q Model Units "&amp;RawMaterials[[#This Row],[Lab Quote Count]]&amp;"]]"))),"")</f>
        <v/>
      </c>
      <c r="AG554" s="367" t="str">
        <f ca="1">IF(RawMaterials[[#This Row],[Lab Quote Count]]&gt;1,INTERCEPT(LOG(INDIRECT("RawMaterials[@[Lab Unit P 1]:[Lab Unit P "&amp;RawMaterials[[#This Row],[Lab Quote Count]]&amp;"]]")),LOG(INDIRECT("RawMaterials[@[Lab Q Model Units 1]:[Lab Q Model Units "&amp;RawMaterials[[#This Row],[Lab Quote Count]]&amp;"]]"))),"")</f>
        <v/>
      </c>
      <c r="AH554" s="368" t="str">
        <f>IF(RawMaterials[[#This Row],[Material Type]]="Metal Precursor","D13",IF(RawMaterials[[#This Row],[Material Type]]="Ligand","D13","D12"))</f>
        <v>D12</v>
      </c>
      <c r="AI554" s="369" t="str">
        <f ca="1">IF(RawMaterials[[#This Row],[Lab Quote Count]]&gt;1,10^RawMaterials[[#This Row],[Lab Log-Log Intercept]]*INDIRECT(RawMaterials[[#This Row],[Basis Cell]])^RawMaterials[[#This Row],[Lab Log-Log Slope]],"&gt;&gt;&gt; Enter 2 or more lab quotes &lt;&lt;&lt;")</f>
        <v>&gt;&gt;&gt; Enter 2 or more lab quotes &lt;&lt;&lt;</v>
      </c>
      <c r="AJ55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54" s="372">
        <f>IF(ISTEXT(RawMaterials[[#This Row],[Unit price in quote year]]),"Check calcs",RawMaterials[[#This Row],[Unit price in quote year]]/VLOOKUP(RawMaterials[[#This Row],[Quote Year]],ChemPPI[],14,FALSE)*VLOOKUP(BasisYear,ChemPPI[],14,FALSE))</f>
        <v>0.4915771407704948</v>
      </c>
      <c r="AM554" s="373" t="str">
        <f t="shared" si="8"/>
        <v>$/lb (2016)</v>
      </c>
    </row>
    <row r="555" spans="1:39">
      <c r="A555" s="263" t="s">
        <v>1650</v>
      </c>
      <c r="B555" s="264"/>
      <c r="C555" s="271"/>
      <c r="D555" s="365"/>
      <c r="E555" s="264">
        <v>100</v>
      </c>
      <c r="F555" s="264"/>
      <c r="G555" s="271"/>
      <c r="H555" s="271"/>
      <c r="I555" s="268"/>
      <c r="J555" s="271"/>
      <c r="K555" s="271"/>
      <c r="L555" s="271"/>
      <c r="M555" s="271"/>
      <c r="N555" s="271"/>
      <c r="O555" s="271"/>
      <c r="P555" s="265">
        <v>0.72499999999999998</v>
      </c>
      <c r="Q555" s="264">
        <v>1</v>
      </c>
      <c r="R555" s="264" t="s">
        <v>20</v>
      </c>
      <c r="S555" s="264">
        <v>2008</v>
      </c>
      <c r="T555" s="266" t="s">
        <v>163</v>
      </c>
      <c r="U555" s="267">
        <v>42653</v>
      </c>
      <c r="V555" s="269"/>
      <c r="W555" s="366">
        <f>COUNT(RawMaterials[[#This Row],[Lab Quantity 1]:[Lab Quantity 4]])</f>
        <v>0</v>
      </c>
      <c r="X55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5" s="367" t="e">
        <f>RawMaterials[[#This Row],[Lab Price 1]]/RawMaterials[[#This Row],[Lab Q Model Units 1]]</f>
        <v>#N/A</v>
      </c>
      <c r="AC555" s="367" t="e">
        <f>RawMaterials[[#This Row],[Lab Price 2]]/RawMaterials[[#This Row],[Lab Q Model Units 2]]</f>
        <v>#N/A</v>
      </c>
      <c r="AD555" s="367" t="e">
        <f>RawMaterials[[#This Row],[Lab Price 3]]/RawMaterials[[#This Row],[Lab Q Model Units 3]]</f>
        <v>#N/A</v>
      </c>
      <c r="AE555" s="367" t="e">
        <f>RawMaterials[[#This Row],[Lab Price 4]]/RawMaterials[[#This Row],[Lab Q Model Units 4]]</f>
        <v>#N/A</v>
      </c>
      <c r="AF555" s="367" t="str">
        <f ca="1">IF(RawMaterials[[#This Row],[Lab Quote Count]]&gt;1,SLOPE(LOG(INDIRECT("RawMaterials[@[Lab Unit P 1]:[Lab Unit P "&amp;RawMaterials[[#This Row],[Lab Quote Count]]&amp;"]]")),LOG(INDIRECT("RawMaterials[@[Lab Q Model Units 1]:[Lab Q Model Units "&amp;RawMaterials[[#This Row],[Lab Quote Count]]&amp;"]]"))),"")</f>
        <v/>
      </c>
      <c r="AG555" s="367" t="str">
        <f ca="1">IF(RawMaterials[[#This Row],[Lab Quote Count]]&gt;1,INTERCEPT(LOG(INDIRECT("RawMaterials[@[Lab Unit P 1]:[Lab Unit P "&amp;RawMaterials[[#This Row],[Lab Quote Count]]&amp;"]]")),LOG(INDIRECT("RawMaterials[@[Lab Q Model Units 1]:[Lab Q Model Units "&amp;RawMaterials[[#This Row],[Lab Quote Count]]&amp;"]]"))),"")</f>
        <v/>
      </c>
      <c r="AH555" s="368" t="str">
        <f>IF(RawMaterials[[#This Row],[Material Type]]="Metal Precursor","D13",IF(RawMaterials[[#This Row],[Material Type]]="Ligand","D13","D12"))</f>
        <v>D12</v>
      </c>
      <c r="AI555" s="369" t="str">
        <f ca="1">IF(RawMaterials[[#This Row],[Lab Quote Count]]&gt;1,10^RawMaterials[[#This Row],[Lab Log-Log Intercept]]*INDIRECT(RawMaterials[[#This Row],[Basis Cell]])^RawMaterials[[#This Row],[Lab Log-Log Slope]],"&gt;&gt;&gt; Enter 2 or more lab quotes &lt;&lt;&lt;")</f>
        <v>&gt;&gt;&gt; Enter 2 or more lab quotes &lt;&lt;&lt;</v>
      </c>
      <c r="AJ55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55" s="372">
        <f>IF(ISTEXT(RawMaterials[[#This Row],[Unit price in quote year]]),"Check calcs",RawMaterials[[#This Row],[Unit price in quote year]]/VLOOKUP(RawMaterials[[#This Row],[Quote Year]],ChemPPI[],14,FALSE)*VLOOKUP(BasisYear,ChemPPI[],14,FALSE))</f>
        <v>0.84855577871097321</v>
      </c>
      <c r="AM555" s="373" t="str">
        <f t="shared" si="8"/>
        <v>$/lb (2016)</v>
      </c>
    </row>
    <row r="556" spans="1:39">
      <c r="A556" s="263" t="s">
        <v>1651</v>
      </c>
      <c r="B556" s="264"/>
      <c r="C556" s="271"/>
      <c r="D556" s="365"/>
      <c r="E556" s="264">
        <v>100</v>
      </c>
      <c r="F556" s="264"/>
      <c r="G556" s="271"/>
      <c r="H556" s="271"/>
      <c r="I556" s="268"/>
      <c r="J556" s="271"/>
      <c r="K556" s="271"/>
      <c r="L556" s="271"/>
      <c r="M556" s="271"/>
      <c r="N556" s="271"/>
      <c r="O556" s="271"/>
      <c r="P556" s="265">
        <v>0.875</v>
      </c>
      <c r="Q556" s="264">
        <v>1</v>
      </c>
      <c r="R556" s="264" t="s">
        <v>20</v>
      </c>
      <c r="S556" s="264">
        <v>2006</v>
      </c>
      <c r="T556" s="266" t="s">
        <v>163</v>
      </c>
      <c r="U556" s="267">
        <v>42653</v>
      </c>
      <c r="V556" s="269"/>
      <c r="W556" s="366">
        <f>COUNT(RawMaterials[[#This Row],[Lab Quantity 1]:[Lab Quantity 4]])</f>
        <v>0</v>
      </c>
      <c r="X55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6" s="367" t="e">
        <f>RawMaterials[[#This Row],[Lab Price 1]]/RawMaterials[[#This Row],[Lab Q Model Units 1]]</f>
        <v>#N/A</v>
      </c>
      <c r="AC556" s="367" t="e">
        <f>RawMaterials[[#This Row],[Lab Price 2]]/RawMaterials[[#This Row],[Lab Q Model Units 2]]</f>
        <v>#N/A</v>
      </c>
      <c r="AD556" s="367" t="e">
        <f>RawMaterials[[#This Row],[Lab Price 3]]/RawMaterials[[#This Row],[Lab Q Model Units 3]]</f>
        <v>#N/A</v>
      </c>
      <c r="AE556" s="367" t="e">
        <f>RawMaterials[[#This Row],[Lab Price 4]]/RawMaterials[[#This Row],[Lab Q Model Units 4]]</f>
        <v>#N/A</v>
      </c>
      <c r="AF556" s="367" t="str">
        <f ca="1">IF(RawMaterials[[#This Row],[Lab Quote Count]]&gt;1,SLOPE(LOG(INDIRECT("RawMaterials[@[Lab Unit P 1]:[Lab Unit P "&amp;RawMaterials[[#This Row],[Lab Quote Count]]&amp;"]]")),LOG(INDIRECT("RawMaterials[@[Lab Q Model Units 1]:[Lab Q Model Units "&amp;RawMaterials[[#This Row],[Lab Quote Count]]&amp;"]]"))),"")</f>
        <v/>
      </c>
      <c r="AG556" s="367" t="str">
        <f ca="1">IF(RawMaterials[[#This Row],[Lab Quote Count]]&gt;1,INTERCEPT(LOG(INDIRECT("RawMaterials[@[Lab Unit P 1]:[Lab Unit P "&amp;RawMaterials[[#This Row],[Lab Quote Count]]&amp;"]]")),LOG(INDIRECT("RawMaterials[@[Lab Q Model Units 1]:[Lab Q Model Units "&amp;RawMaterials[[#This Row],[Lab Quote Count]]&amp;"]]"))),"")</f>
        <v/>
      </c>
      <c r="AH556" s="368" t="str">
        <f>IF(RawMaterials[[#This Row],[Material Type]]="Metal Precursor","D13",IF(RawMaterials[[#This Row],[Material Type]]="Ligand","D13","D12"))</f>
        <v>D12</v>
      </c>
      <c r="AI556" s="369" t="str">
        <f ca="1">IF(RawMaterials[[#This Row],[Lab Quote Count]]&gt;1,10^RawMaterials[[#This Row],[Lab Log-Log Intercept]]*INDIRECT(RawMaterials[[#This Row],[Basis Cell]])^RawMaterials[[#This Row],[Lab Log-Log Slope]],"&gt;&gt;&gt; Enter 2 or more lab quotes &lt;&lt;&lt;")</f>
        <v>&gt;&gt;&gt; Enter 2 or more lab quotes &lt;&lt;&lt;</v>
      </c>
      <c r="AJ55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6" s="372">
        <f>IF(ISTEXT(RawMaterials[[#This Row],[Unit price in quote year]]),"Check calcs",RawMaterials[[#This Row],[Unit price in quote year]]/VLOOKUP(RawMaterials[[#This Row],[Quote Year]],ChemPPI[],14,FALSE)*VLOOKUP(BasisYear,ChemPPI[],14,FALSE))</f>
        <v>1.187563516260163</v>
      </c>
      <c r="AM556" s="373" t="str">
        <f t="shared" si="8"/>
        <v>$/lb (2016)</v>
      </c>
    </row>
    <row r="557" spans="1:39">
      <c r="A557" s="263" t="s">
        <v>1652</v>
      </c>
      <c r="B557" s="264"/>
      <c r="C557" s="271"/>
      <c r="D557" s="365"/>
      <c r="E557" s="264">
        <v>100</v>
      </c>
      <c r="F557" s="264"/>
      <c r="G557" s="271"/>
      <c r="H557" s="271"/>
      <c r="I557" s="268"/>
      <c r="J557" s="271"/>
      <c r="K557" s="271"/>
      <c r="L557" s="271"/>
      <c r="M557" s="271"/>
      <c r="N557" s="271"/>
      <c r="O557" s="271"/>
      <c r="P557" s="265">
        <v>0.875</v>
      </c>
      <c r="Q557" s="264">
        <v>1</v>
      </c>
      <c r="R557" s="264" t="s">
        <v>20</v>
      </c>
      <c r="S557" s="264">
        <v>2006</v>
      </c>
      <c r="T557" s="266" t="s">
        <v>163</v>
      </c>
      <c r="U557" s="267">
        <v>42653</v>
      </c>
      <c r="V557" s="269"/>
      <c r="W557" s="366">
        <f>COUNT(RawMaterials[[#This Row],[Lab Quantity 1]:[Lab Quantity 4]])</f>
        <v>0</v>
      </c>
      <c r="X55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7" s="367" t="e">
        <f>RawMaterials[[#This Row],[Lab Price 1]]/RawMaterials[[#This Row],[Lab Q Model Units 1]]</f>
        <v>#N/A</v>
      </c>
      <c r="AC557" s="367" t="e">
        <f>RawMaterials[[#This Row],[Lab Price 2]]/RawMaterials[[#This Row],[Lab Q Model Units 2]]</f>
        <v>#N/A</v>
      </c>
      <c r="AD557" s="367" t="e">
        <f>RawMaterials[[#This Row],[Lab Price 3]]/RawMaterials[[#This Row],[Lab Q Model Units 3]]</f>
        <v>#N/A</v>
      </c>
      <c r="AE557" s="367" t="e">
        <f>RawMaterials[[#This Row],[Lab Price 4]]/RawMaterials[[#This Row],[Lab Q Model Units 4]]</f>
        <v>#N/A</v>
      </c>
      <c r="AF557" s="367" t="str">
        <f ca="1">IF(RawMaterials[[#This Row],[Lab Quote Count]]&gt;1,SLOPE(LOG(INDIRECT("RawMaterials[@[Lab Unit P 1]:[Lab Unit P "&amp;RawMaterials[[#This Row],[Lab Quote Count]]&amp;"]]")),LOG(INDIRECT("RawMaterials[@[Lab Q Model Units 1]:[Lab Q Model Units "&amp;RawMaterials[[#This Row],[Lab Quote Count]]&amp;"]]"))),"")</f>
        <v/>
      </c>
      <c r="AG557" s="367" t="str">
        <f ca="1">IF(RawMaterials[[#This Row],[Lab Quote Count]]&gt;1,INTERCEPT(LOG(INDIRECT("RawMaterials[@[Lab Unit P 1]:[Lab Unit P "&amp;RawMaterials[[#This Row],[Lab Quote Count]]&amp;"]]")),LOG(INDIRECT("RawMaterials[@[Lab Q Model Units 1]:[Lab Q Model Units "&amp;RawMaterials[[#This Row],[Lab Quote Count]]&amp;"]]"))),"")</f>
        <v/>
      </c>
      <c r="AH557" s="368" t="str">
        <f>IF(RawMaterials[[#This Row],[Material Type]]="Metal Precursor","D13",IF(RawMaterials[[#This Row],[Material Type]]="Ligand","D13","D12"))</f>
        <v>D12</v>
      </c>
      <c r="AI557" s="369" t="str">
        <f ca="1">IF(RawMaterials[[#This Row],[Lab Quote Count]]&gt;1,10^RawMaterials[[#This Row],[Lab Log-Log Intercept]]*INDIRECT(RawMaterials[[#This Row],[Basis Cell]])^RawMaterials[[#This Row],[Lab Log-Log Slope]],"&gt;&gt;&gt; Enter 2 or more lab quotes &lt;&lt;&lt;")</f>
        <v>&gt;&gt;&gt; Enter 2 or more lab quotes &lt;&lt;&lt;</v>
      </c>
      <c r="AJ55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7" s="372">
        <f>IF(ISTEXT(RawMaterials[[#This Row],[Unit price in quote year]]),"Check calcs",RawMaterials[[#This Row],[Unit price in quote year]]/VLOOKUP(RawMaterials[[#This Row],[Quote Year]],ChemPPI[],14,FALSE)*VLOOKUP(BasisYear,ChemPPI[],14,FALSE))</f>
        <v>1.187563516260163</v>
      </c>
      <c r="AM557" s="373" t="str">
        <f t="shared" si="8"/>
        <v>$/lb (2016)</v>
      </c>
    </row>
    <row r="558" spans="1:39">
      <c r="A558" s="263" t="s">
        <v>1653</v>
      </c>
      <c r="B558" s="264"/>
      <c r="C558" s="271"/>
      <c r="D558" s="365"/>
      <c r="E558" s="264">
        <v>100</v>
      </c>
      <c r="F558" s="264"/>
      <c r="G558" s="271"/>
      <c r="H558" s="271"/>
      <c r="I558" s="268"/>
      <c r="J558" s="271"/>
      <c r="K558" s="271"/>
      <c r="L558" s="271"/>
      <c r="M558" s="271"/>
      <c r="N558" s="271"/>
      <c r="O558" s="271"/>
      <c r="P558" s="265">
        <v>0.65500000000000003</v>
      </c>
      <c r="Q558" s="264">
        <v>1</v>
      </c>
      <c r="R558" s="264" t="s">
        <v>20</v>
      </c>
      <c r="S558" s="264">
        <v>2006</v>
      </c>
      <c r="T558" s="266" t="s">
        <v>163</v>
      </c>
      <c r="U558" s="267">
        <v>42653</v>
      </c>
      <c r="V558" s="269"/>
      <c r="W558" s="366">
        <f>COUNT(RawMaterials[[#This Row],[Lab Quantity 1]:[Lab Quantity 4]])</f>
        <v>0</v>
      </c>
      <c r="X55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8" s="367" t="e">
        <f>RawMaterials[[#This Row],[Lab Price 1]]/RawMaterials[[#This Row],[Lab Q Model Units 1]]</f>
        <v>#N/A</v>
      </c>
      <c r="AC558" s="367" t="e">
        <f>RawMaterials[[#This Row],[Lab Price 2]]/RawMaterials[[#This Row],[Lab Q Model Units 2]]</f>
        <v>#N/A</v>
      </c>
      <c r="AD558" s="367" t="e">
        <f>RawMaterials[[#This Row],[Lab Price 3]]/RawMaterials[[#This Row],[Lab Q Model Units 3]]</f>
        <v>#N/A</v>
      </c>
      <c r="AE558" s="367" t="e">
        <f>RawMaterials[[#This Row],[Lab Price 4]]/RawMaterials[[#This Row],[Lab Q Model Units 4]]</f>
        <v>#N/A</v>
      </c>
      <c r="AF558" s="367" t="str">
        <f ca="1">IF(RawMaterials[[#This Row],[Lab Quote Count]]&gt;1,SLOPE(LOG(INDIRECT("RawMaterials[@[Lab Unit P 1]:[Lab Unit P "&amp;RawMaterials[[#This Row],[Lab Quote Count]]&amp;"]]")),LOG(INDIRECT("RawMaterials[@[Lab Q Model Units 1]:[Lab Q Model Units "&amp;RawMaterials[[#This Row],[Lab Quote Count]]&amp;"]]"))),"")</f>
        <v/>
      </c>
      <c r="AG558" s="367" t="str">
        <f ca="1">IF(RawMaterials[[#This Row],[Lab Quote Count]]&gt;1,INTERCEPT(LOG(INDIRECT("RawMaterials[@[Lab Unit P 1]:[Lab Unit P "&amp;RawMaterials[[#This Row],[Lab Quote Count]]&amp;"]]")),LOG(INDIRECT("RawMaterials[@[Lab Q Model Units 1]:[Lab Q Model Units "&amp;RawMaterials[[#This Row],[Lab Quote Count]]&amp;"]]"))),"")</f>
        <v/>
      </c>
      <c r="AH558" s="368" t="str">
        <f>IF(RawMaterials[[#This Row],[Material Type]]="Metal Precursor","D13",IF(RawMaterials[[#This Row],[Material Type]]="Ligand","D13","D12"))</f>
        <v>D12</v>
      </c>
      <c r="AI558" s="369" t="str">
        <f ca="1">IF(RawMaterials[[#This Row],[Lab Quote Count]]&gt;1,10^RawMaterials[[#This Row],[Lab Log-Log Intercept]]*INDIRECT(RawMaterials[[#This Row],[Basis Cell]])^RawMaterials[[#This Row],[Lab Log-Log Slope]],"&gt;&gt;&gt; Enter 2 or more lab quotes &lt;&lt;&lt;")</f>
        <v>&gt;&gt;&gt; Enter 2 or more lab quotes &lt;&lt;&lt;</v>
      </c>
      <c r="AJ55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0.65500000000000003</v>
      </c>
      <c r="AL558" s="372">
        <f>IF(ISTEXT(RawMaterials[[#This Row],[Unit price in quote year]]),"Check calcs",RawMaterials[[#This Row],[Unit price in quote year]]/VLOOKUP(RawMaterials[[#This Row],[Quote Year]],ChemPPI[],14,FALSE)*VLOOKUP(BasisYear,ChemPPI[],14,FALSE))</f>
        <v>0.88897611788617903</v>
      </c>
      <c r="AM558" s="373" t="str">
        <f t="shared" si="8"/>
        <v>$/lb (2016)</v>
      </c>
    </row>
    <row r="559" spans="1:39">
      <c r="A559" s="263" t="s">
        <v>1654</v>
      </c>
      <c r="B559" s="264"/>
      <c r="C559" s="271"/>
      <c r="D559" s="365"/>
      <c r="E559" s="264">
        <v>100</v>
      </c>
      <c r="F559" s="264"/>
      <c r="G559" s="271"/>
      <c r="H559" s="271"/>
      <c r="I559" s="268"/>
      <c r="J559" s="271"/>
      <c r="K559" s="271"/>
      <c r="L559" s="271"/>
      <c r="M559" s="271"/>
      <c r="N559" s="271"/>
      <c r="O559" s="271"/>
      <c r="P559" s="265">
        <v>0.875</v>
      </c>
      <c r="Q559" s="264">
        <v>1</v>
      </c>
      <c r="R559" s="264" t="s">
        <v>20</v>
      </c>
      <c r="S559" s="264">
        <v>2006</v>
      </c>
      <c r="T559" s="266" t="s">
        <v>163</v>
      </c>
      <c r="U559" s="267">
        <v>42653</v>
      </c>
      <c r="V559" s="269"/>
      <c r="W559" s="366">
        <f>COUNT(RawMaterials[[#This Row],[Lab Quantity 1]:[Lab Quantity 4]])</f>
        <v>0</v>
      </c>
      <c r="X55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5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5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5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59" s="367" t="e">
        <f>RawMaterials[[#This Row],[Lab Price 1]]/RawMaterials[[#This Row],[Lab Q Model Units 1]]</f>
        <v>#N/A</v>
      </c>
      <c r="AC559" s="367" t="e">
        <f>RawMaterials[[#This Row],[Lab Price 2]]/RawMaterials[[#This Row],[Lab Q Model Units 2]]</f>
        <v>#N/A</v>
      </c>
      <c r="AD559" s="367" t="e">
        <f>RawMaterials[[#This Row],[Lab Price 3]]/RawMaterials[[#This Row],[Lab Q Model Units 3]]</f>
        <v>#N/A</v>
      </c>
      <c r="AE559" s="367" t="e">
        <f>RawMaterials[[#This Row],[Lab Price 4]]/RawMaterials[[#This Row],[Lab Q Model Units 4]]</f>
        <v>#N/A</v>
      </c>
      <c r="AF559" s="367" t="str">
        <f ca="1">IF(RawMaterials[[#This Row],[Lab Quote Count]]&gt;1,SLOPE(LOG(INDIRECT("RawMaterials[@[Lab Unit P 1]:[Lab Unit P "&amp;RawMaterials[[#This Row],[Lab Quote Count]]&amp;"]]")),LOG(INDIRECT("RawMaterials[@[Lab Q Model Units 1]:[Lab Q Model Units "&amp;RawMaterials[[#This Row],[Lab Quote Count]]&amp;"]]"))),"")</f>
        <v/>
      </c>
      <c r="AG559" s="367" t="str">
        <f ca="1">IF(RawMaterials[[#This Row],[Lab Quote Count]]&gt;1,INTERCEPT(LOG(INDIRECT("RawMaterials[@[Lab Unit P 1]:[Lab Unit P "&amp;RawMaterials[[#This Row],[Lab Quote Count]]&amp;"]]")),LOG(INDIRECT("RawMaterials[@[Lab Q Model Units 1]:[Lab Q Model Units "&amp;RawMaterials[[#This Row],[Lab Quote Count]]&amp;"]]"))),"")</f>
        <v/>
      </c>
      <c r="AH559" s="368" t="str">
        <f>IF(RawMaterials[[#This Row],[Material Type]]="Metal Precursor","D13",IF(RawMaterials[[#This Row],[Material Type]]="Ligand","D13","D12"))</f>
        <v>D12</v>
      </c>
      <c r="AI559" s="369" t="str">
        <f ca="1">IF(RawMaterials[[#This Row],[Lab Quote Count]]&gt;1,10^RawMaterials[[#This Row],[Lab Log-Log Intercept]]*INDIRECT(RawMaterials[[#This Row],[Basis Cell]])^RawMaterials[[#This Row],[Lab Log-Log Slope]],"&gt;&gt;&gt; Enter 2 or more lab quotes &lt;&lt;&lt;")</f>
        <v>&gt;&gt;&gt; Enter 2 or more lab quotes &lt;&lt;&lt;</v>
      </c>
      <c r="AJ55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5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0.875</v>
      </c>
      <c r="AL559" s="372">
        <f>IF(ISTEXT(RawMaterials[[#This Row],[Unit price in quote year]]),"Check calcs",RawMaterials[[#This Row],[Unit price in quote year]]/VLOOKUP(RawMaterials[[#This Row],[Quote Year]],ChemPPI[],14,FALSE)*VLOOKUP(BasisYear,ChemPPI[],14,FALSE))</f>
        <v>1.187563516260163</v>
      </c>
      <c r="AM559" s="373" t="str">
        <f t="shared" si="8"/>
        <v>$/lb (2016)</v>
      </c>
    </row>
    <row r="560" spans="1:39">
      <c r="A560" s="263" t="s">
        <v>1655</v>
      </c>
      <c r="B560" s="264"/>
      <c r="C560" s="271"/>
      <c r="D560" s="365"/>
      <c r="E560" s="264">
        <v>100</v>
      </c>
      <c r="F560" s="264"/>
      <c r="G560" s="271"/>
      <c r="H560" s="271"/>
      <c r="I560" s="268"/>
      <c r="J560" s="271"/>
      <c r="K560" s="271"/>
      <c r="L560" s="271"/>
      <c r="M560" s="271"/>
      <c r="N560" s="271"/>
      <c r="O560" s="271"/>
      <c r="P560" s="265">
        <v>0.77</v>
      </c>
      <c r="Q560" s="264">
        <v>1</v>
      </c>
      <c r="R560" s="264" t="s">
        <v>20</v>
      </c>
      <c r="S560" s="264">
        <v>2006</v>
      </c>
      <c r="T560" s="266" t="s">
        <v>163</v>
      </c>
      <c r="U560" s="267">
        <v>42653</v>
      </c>
      <c r="V560" s="269"/>
      <c r="W560" s="366">
        <f>COUNT(RawMaterials[[#This Row],[Lab Quantity 1]:[Lab Quantity 4]])</f>
        <v>0</v>
      </c>
      <c r="X56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0" s="367" t="e">
        <f>RawMaterials[[#This Row],[Lab Price 1]]/RawMaterials[[#This Row],[Lab Q Model Units 1]]</f>
        <v>#N/A</v>
      </c>
      <c r="AC560" s="367" t="e">
        <f>RawMaterials[[#This Row],[Lab Price 2]]/RawMaterials[[#This Row],[Lab Q Model Units 2]]</f>
        <v>#N/A</v>
      </c>
      <c r="AD560" s="367" t="e">
        <f>RawMaterials[[#This Row],[Lab Price 3]]/RawMaterials[[#This Row],[Lab Q Model Units 3]]</f>
        <v>#N/A</v>
      </c>
      <c r="AE560" s="367" t="e">
        <f>RawMaterials[[#This Row],[Lab Price 4]]/RawMaterials[[#This Row],[Lab Q Model Units 4]]</f>
        <v>#N/A</v>
      </c>
      <c r="AF560" s="367" t="str">
        <f ca="1">IF(RawMaterials[[#This Row],[Lab Quote Count]]&gt;1,SLOPE(LOG(INDIRECT("RawMaterials[@[Lab Unit P 1]:[Lab Unit P "&amp;RawMaterials[[#This Row],[Lab Quote Count]]&amp;"]]")),LOG(INDIRECT("RawMaterials[@[Lab Q Model Units 1]:[Lab Q Model Units "&amp;RawMaterials[[#This Row],[Lab Quote Count]]&amp;"]]"))),"")</f>
        <v/>
      </c>
      <c r="AG560" s="367" t="str">
        <f ca="1">IF(RawMaterials[[#This Row],[Lab Quote Count]]&gt;1,INTERCEPT(LOG(INDIRECT("RawMaterials[@[Lab Unit P 1]:[Lab Unit P "&amp;RawMaterials[[#This Row],[Lab Quote Count]]&amp;"]]")),LOG(INDIRECT("RawMaterials[@[Lab Q Model Units 1]:[Lab Q Model Units "&amp;RawMaterials[[#This Row],[Lab Quote Count]]&amp;"]]"))),"")</f>
        <v/>
      </c>
      <c r="AH560" s="368" t="str">
        <f>IF(RawMaterials[[#This Row],[Material Type]]="Metal Precursor","D13",IF(RawMaterials[[#This Row],[Material Type]]="Ligand","D13","D12"))</f>
        <v>D12</v>
      </c>
      <c r="AI560" s="369" t="str">
        <f ca="1">IF(RawMaterials[[#This Row],[Lab Quote Count]]&gt;1,10^RawMaterials[[#This Row],[Lab Log-Log Intercept]]*INDIRECT(RawMaterials[[#This Row],[Basis Cell]])^RawMaterials[[#This Row],[Lab Log-Log Slope]],"&gt;&gt;&gt; Enter 2 or more lab quotes &lt;&lt;&lt;")</f>
        <v>&gt;&gt;&gt; Enter 2 or more lab quotes &lt;&lt;&lt;</v>
      </c>
      <c r="AJ56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v>
      </c>
      <c r="AL560" s="372">
        <f>IF(ISTEXT(RawMaterials[[#This Row],[Unit price in quote year]]),"Check calcs",RawMaterials[[#This Row],[Unit price in quote year]]/VLOOKUP(RawMaterials[[#This Row],[Quote Year]],ChemPPI[],14,FALSE)*VLOOKUP(BasisYear,ChemPPI[],14,FALSE))</f>
        <v>1.0450558943089432</v>
      </c>
      <c r="AM560" s="373" t="str">
        <f t="shared" si="8"/>
        <v>$/lb (2016)</v>
      </c>
    </row>
    <row r="561" spans="1:39">
      <c r="A561" s="263" t="s">
        <v>1656</v>
      </c>
      <c r="B561" s="264"/>
      <c r="C561" s="271"/>
      <c r="D561" s="365"/>
      <c r="E561" s="264">
        <v>100</v>
      </c>
      <c r="F561" s="264"/>
      <c r="G561" s="271"/>
      <c r="H561" s="271"/>
      <c r="I561" s="268"/>
      <c r="J561" s="271"/>
      <c r="K561" s="271"/>
      <c r="L561" s="271"/>
      <c r="M561" s="271"/>
      <c r="N561" s="271"/>
      <c r="O561" s="271"/>
      <c r="P561" s="265">
        <v>0.77500000000000002</v>
      </c>
      <c r="Q561" s="264">
        <v>1</v>
      </c>
      <c r="R561" s="264" t="s">
        <v>20</v>
      </c>
      <c r="S561" s="264">
        <v>2006</v>
      </c>
      <c r="T561" s="266" t="s">
        <v>163</v>
      </c>
      <c r="U561" s="267">
        <v>42653</v>
      </c>
      <c r="V561" s="269"/>
      <c r="W561" s="366">
        <f>COUNT(RawMaterials[[#This Row],[Lab Quantity 1]:[Lab Quantity 4]])</f>
        <v>0</v>
      </c>
      <c r="X56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1" s="367" t="e">
        <f>RawMaterials[[#This Row],[Lab Price 1]]/RawMaterials[[#This Row],[Lab Q Model Units 1]]</f>
        <v>#N/A</v>
      </c>
      <c r="AC561" s="367" t="e">
        <f>RawMaterials[[#This Row],[Lab Price 2]]/RawMaterials[[#This Row],[Lab Q Model Units 2]]</f>
        <v>#N/A</v>
      </c>
      <c r="AD561" s="367" t="e">
        <f>RawMaterials[[#This Row],[Lab Price 3]]/RawMaterials[[#This Row],[Lab Q Model Units 3]]</f>
        <v>#N/A</v>
      </c>
      <c r="AE561" s="367" t="e">
        <f>RawMaterials[[#This Row],[Lab Price 4]]/RawMaterials[[#This Row],[Lab Q Model Units 4]]</f>
        <v>#N/A</v>
      </c>
      <c r="AF561" s="367" t="str">
        <f ca="1">IF(RawMaterials[[#This Row],[Lab Quote Count]]&gt;1,SLOPE(LOG(INDIRECT("RawMaterials[@[Lab Unit P 1]:[Lab Unit P "&amp;RawMaterials[[#This Row],[Lab Quote Count]]&amp;"]]")),LOG(INDIRECT("RawMaterials[@[Lab Q Model Units 1]:[Lab Q Model Units "&amp;RawMaterials[[#This Row],[Lab Quote Count]]&amp;"]]"))),"")</f>
        <v/>
      </c>
      <c r="AG561" s="367" t="str">
        <f ca="1">IF(RawMaterials[[#This Row],[Lab Quote Count]]&gt;1,INTERCEPT(LOG(INDIRECT("RawMaterials[@[Lab Unit P 1]:[Lab Unit P "&amp;RawMaterials[[#This Row],[Lab Quote Count]]&amp;"]]")),LOG(INDIRECT("RawMaterials[@[Lab Q Model Units 1]:[Lab Q Model Units "&amp;RawMaterials[[#This Row],[Lab Quote Count]]&amp;"]]"))),"")</f>
        <v/>
      </c>
      <c r="AH561" s="368" t="str">
        <f>IF(RawMaterials[[#This Row],[Material Type]]="Metal Precursor","D13",IF(RawMaterials[[#This Row],[Material Type]]="Ligand","D13","D12"))</f>
        <v>D12</v>
      </c>
      <c r="AI561" s="369" t="str">
        <f ca="1">IF(RawMaterials[[#This Row],[Lab Quote Count]]&gt;1,10^RawMaterials[[#This Row],[Lab Log-Log Intercept]]*INDIRECT(RawMaterials[[#This Row],[Basis Cell]])^RawMaterials[[#This Row],[Lab Log-Log Slope]],"&gt;&gt;&gt; Enter 2 or more lab quotes &lt;&lt;&lt;")</f>
        <v>&gt;&gt;&gt; Enter 2 or more lab quotes &lt;&lt;&lt;</v>
      </c>
      <c r="AJ56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0.77500000000000002</v>
      </c>
      <c r="AL561" s="372">
        <f>IF(ISTEXT(RawMaterials[[#This Row],[Unit price in quote year]]),"Check calcs",RawMaterials[[#This Row],[Unit price in quote year]]/VLOOKUP(RawMaterials[[#This Row],[Quote Year]],ChemPPI[],14,FALSE)*VLOOKUP(BasisYear,ChemPPI[],14,FALSE))</f>
        <v>1.0518419715447156</v>
      </c>
      <c r="AM561" s="373" t="str">
        <f t="shared" si="8"/>
        <v>$/lb (2016)</v>
      </c>
    </row>
    <row r="562" spans="1:39">
      <c r="A562" s="263" t="s">
        <v>1657</v>
      </c>
      <c r="B562" s="264"/>
      <c r="C562" s="271"/>
      <c r="D562" s="365"/>
      <c r="E562" s="264">
        <v>100</v>
      </c>
      <c r="F562" s="264"/>
      <c r="G562" s="271"/>
      <c r="H562" s="271"/>
      <c r="I562" s="268"/>
      <c r="J562" s="271"/>
      <c r="K562" s="271"/>
      <c r="L562" s="271"/>
      <c r="M562" s="271"/>
      <c r="N562" s="271"/>
      <c r="O562" s="271"/>
      <c r="P562" s="265">
        <v>0.68</v>
      </c>
      <c r="Q562" s="264">
        <v>1</v>
      </c>
      <c r="R562" s="264" t="s">
        <v>20</v>
      </c>
      <c r="S562" s="264">
        <v>2006</v>
      </c>
      <c r="T562" s="266" t="s">
        <v>163</v>
      </c>
      <c r="U562" s="267">
        <v>42653</v>
      </c>
      <c r="V562" s="269"/>
      <c r="W562" s="366">
        <f>COUNT(RawMaterials[[#This Row],[Lab Quantity 1]:[Lab Quantity 4]])</f>
        <v>0</v>
      </c>
      <c r="X56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2" s="367" t="e">
        <f>RawMaterials[[#This Row],[Lab Price 1]]/RawMaterials[[#This Row],[Lab Q Model Units 1]]</f>
        <v>#N/A</v>
      </c>
      <c r="AC562" s="367" t="e">
        <f>RawMaterials[[#This Row],[Lab Price 2]]/RawMaterials[[#This Row],[Lab Q Model Units 2]]</f>
        <v>#N/A</v>
      </c>
      <c r="AD562" s="367" t="e">
        <f>RawMaterials[[#This Row],[Lab Price 3]]/RawMaterials[[#This Row],[Lab Q Model Units 3]]</f>
        <v>#N/A</v>
      </c>
      <c r="AE562" s="367" t="e">
        <f>RawMaterials[[#This Row],[Lab Price 4]]/RawMaterials[[#This Row],[Lab Q Model Units 4]]</f>
        <v>#N/A</v>
      </c>
      <c r="AF562" s="367" t="str">
        <f ca="1">IF(RawMaterials[[#This Row],[Lab Quote Count]]&gt;1,SLOPE(LOG(INDIRECT("RawMaterials[@[Lab Unit P 1]:[Lab Unit P "&amp;RawMaterials[[#This Row],[Lab Quote Count]]&amp;"]]")),LOG(INDIRECT("RawMaterials[@[Lab Q Model Units 1]:[Lab Q Model Units "&amp;RawMaterials[[#This Row],[Lab Quote Count]]&amp;"]]"))),"")</f>
        <v/>
      </c>
      <c r="AG562" s="367" t="str">
        <f ca="1">IF(RawMaterials[[#This Row],[Lab Quote Count]]&gt;1,INTERCEPT(LOG(INDIRECT("RawMaterials[@[Lab Unit P 1]:[Lab Unit P "&amp;RawMaterials[[#This Row],[Lab Quote Count]]&amp;"]]")),LOG(INDIRECT("RawMaterials[@[Lab Q Model Units 1]:[Lab Q Model Units "&amp;RawMaterials[[#This Row],[Lab Quote Count]]&amp;"]]"))),"")</f>
        <v/>
      </c>
      <c r="AH562" s="368" t="str">
        <f>IF(RawMaterials[[#This Row],[Material Type]]="Metal Precursor","D13",IF(RawMaterials[[#This Row],[Material Type]]="Ligand","D13","D12"))</f>
        <v>D12</v>
      </c>
      <c r="AI562" s="369" t="str">
        <f ca="1">IF(RawMaterials[[#This Row],[Lab Quote Count]]&gt;1,10^RawMaterials[[#This Row],[Lab Log-Log Intercept]]*INDIRECT(RawMaterials[[#This Row],[Basis Cell]])^RawMaterials[[#This Row],[Lab Log-Log Slope]],"&gt;&gt;&gt; Enter 2 or more lab quotes &lt;&lt;&lt;")</f>
        <v>&gt;&gt;&gt; Enter 2 or more lab quotes &lt;&lt;&lt;</v>
      </c>
      <c r="AJ56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v>
      </c>
      <c r="AL562" s="372">
        <f>IF(ISTEXT(RawMaterials[[#This Row],[Unit price in quote year]]),"Check calcs",RawMaterials[[#This Row],[Unit price in quote year]]/VLOOKUP(RawMaterials[[#This Row],[Quote Year]],ChemPPI[],14,FALSE)*VLOOKUP(BasisYear,ChemPPI[],14,FALSE))</f>
        <v>0.92290650406504093</v>
      </c>
      <c r="AM562" s="373" t="str">
        <f t="shared" si="8"/>
        <v>$/lb (2016)</v>
      </c>
    </row>
    <row r="563" spans="1:39">
      <c r="A563" s="263" t="s">
        <v>1658</v>
      </c>
      <c r="B563" s="264"/>
      <c r="C563" s="271"/>
      <c r="D563" s="365"/>
      <c r="E563" s="264">
        <v>100</v>
      </c>
      <c r="F563" s="264"/>
      <c r="G563" s="271"/>
      <c r="H563" s="271"/>
      <c r="I563" s="268"/>
      <c r="J563" s="271"/>
      <c r="K563" s="271"/>
      <c r="L563" s="271"/>
      <c r="M563" s="271"/>
      <c r="N563" s="271"/>
      <c r="O563" s="271"/>
      <c r="P563" s="265">
        <v>0.66500000000000004</v>
      </c>
      <c r="Q563" s="264">
        <v>1</v>
      </c>
      <c r="R563" s="264" t="s">
        <v>20</v>
      </c>
      <c r="S563" s="264">
        <v>2006</v>
      </c>
      <c r="T563" s="266" t="s">
        <v>163</v>
      </c>
      <c r="U563" s="267">
        <v>42653</v>
      </c>
      <c r="V563" s="269"/>
      <c r="W563" s="366">
        <f>COUNT(RawMaterials[[#This Row],[Lab Quantity 1]:[Lab Quantity 4]])</f>
        <v>0</v>
      </c>
      <c r="X56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3" s="367" t="e">
        <f>RawMaterials[[#This Row],[Lab Price 1]]/RawMaterials[[#This Row],[Lab Q Model Units 1]]</f>
        <v>#N/A</v>
      </c>
      <c r="AC563" s="367" t="e">
        <f>RawMaterials[[#This Row],[Lab Price 2]]/RawMaterials[[#This Row],[Lab Q Model Units 2]]</f>
        <v>#N/A</v>
      </c>
      <c r="AD563" s="367" t="e">
        <f>RawMaterials[[#This Row],[Lab Price 3]]/RawMaterials[[#This Row],[Lab Q Model Units 3]]</f>
        <v>#N/A</v>
      </c>
      <c r="AE563" s="367" t="e">
        <f>RawMaterials[[#This Row],[Lab Price 4]]/RawMaterials[[#This Row],[Lab Q Model Units 4]]</f>
        <v>#N/A</v>
      </c>
      <c r="AF563" s="367" t="str">
        <f ca="1">IF(RawMaterials[[#This Row],[Lab Quote Count]]&gt;1,SLOPE(LOG(INDIRECT("RawMaterials[@[Lab Unit P 1]:[Lab Unit P "&amp;RawMaterials[[#This Row],[Lab Quote Count]]&amp;"]]")),LOG(INDIRECT("RawMaterials[@[Lab Q Model Units 1]:[Lab Q Model Units "&amp;RawMaterials[[#This Row],[Lab Quote Count]]&amp;"]]"))),"")</f>
        <v/>
      </c>
      <c r="AG563" s="367" t="str">
        <f ca="1">IF(RawMaterials[[#This Row],[Lab Quote Count]]&gt;1,INTERCEPT(LOG(INDIRECT("RawMaterials[@[Lab Unit P 1]:[Lab Unit P "&amp;RawMaterials[[#This Row],[Lab Quote Count]]&amp;"]]")),LOG(INDIRECT("RawMaterials[@[Lab Q Model Units 1]:[Lab Q Model Units "&amp;RawMaterials[[#This Row],[Lab Quote Count]]&amp;"]]"))),"")</f>
        <v/>
      </c>
      <c r="AH563" s="368" t="str">
        <f>IF(RawMaterials[[#This Row],[Material Type]]="Metal Precursor","D13",IF(RawMaterials[[#This Row],[Material Type]]="Ligand","D13","D12"))</f>
        <v>D12</v>
      </c>
      <c r="AI563" s="369" t="str">
        <f ca="1">IF(RawMaterials[[#This Row],[Lab Quote Count]]&gt;1,10^RawMaterials[[#This Row],[Lab Log-Log Intercept]]*INDIRECT(RawMaterials[[#This Row],[Basis Cell]])^RawMaterials[[#This Row],[Lab Log-Log Slope]],"&gt;&gt;&gt; Enter 2 or more lab quotes &lt;&lt;&lt;")</f>
        <v>&gt;&gt;&gt; Enter 2 or more lab quotes &lt;&lt;&lt;</v>
      </c>
      <c r="AJ56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6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0.66500000000000004</v>
      </c>
      <c r="AL563" s="372">
        <f>IF(ISTEXT(RawMaterials[[#This Row],[Unit price in quote year]]),"Check calcs",RawMaterials[[#This Row],[Unit price in quote year]]/VLOOKUP(RawMaterials[[#This Row],[Quote Year]],ChemPPI[],14,FALSE)*VLOOKUP(BasisYear,ChemPPI[],14,FALSE))</f>
        <v>0.90254827235772384</v>
      </c>
      <c r="AM563" s="373" t="str">
        <f t="shared" si="8"/>
        <v>$/lb (2016)</v>
      </c>
    </row>
    <row r="564" spans="1:39">
      <c r="A564" s="263" t="s">
        <v>1659</v>
      </c>
      <c r="B564" s="264"/>
      <c r="C564" s="271">
        <v>64.066000000000003</v>
      </c>
      <c r="D564" s="270">
        <f>RawMaterials[[#This Row],[MW (g/mol)]]/molar_volume_scf_def</f>
        <v>2.6535486356452182E-3</v>
      </c>
      <c r="E564" s="264">
        <v>100</v>
      </c>
      <c r="F564" s="264"/>
      <c r="G564" s="271"/>
      <c r="H564" s="271"/>
      <c r="I564" s="268"/>
      <c r="J564" s="271"/>
      <c r="K564" s="271"/>
      <c r="L564" s="271"/>
      <c r="M564" s="271"/>
      <c r="N564" s="271"/>
      <c r="O564" s="271"/>
      <c r="P564" s="265">
        <v>230</v>
      </c>
      <c r="Q564" s="264">
        <v>2000</v>
      </c>
      <c r="R564" s="264" t="s">
        <v>20</v>
      </c>
      <c r="S564" s="264">
        <v>2006</v>
      </c>
      <c r="T564" s="266" t="s">
        <v>163</v>
      </c>
      <c r="U564" s="267">
        <v>42653</v>
      </c>
      <c r="V564" s="269"/>
      <c r="W564" s="366">
        <f>COUNT(RawMaterials[[#This Row],[Lab Quantity 1]:[Lab Quantity 4]])</f>
        <v>0</v>
      </c>
      <c r="X56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4" s="367" t="e">
        <f>RawMaterials[[#This Row],[Lab Price 1]]/RawMaterials[[#This Row],[Lab Q Model Units 1]]</f>
        <v>#N/A</v>
      </c>
      <c r="AC564" s="367" t="e">
        <f>RawMaterials[[#This Row],[Lab Price 2]]/RawMaterials[[#This Row],[Lab Q Model Units 2]]</f>
        <v>#N/A</v>
      </c>
      <c r="AD564" s="367" t="e">
        <f>RawMaterials[[#This Row],[Lab Price 3]]/RawMaterials[[#This Row],[Lab Q Model Units 3]]</f>
        <v>#N/A</v>
      </c>
      <c r="AE564" s="367" t="e">
        <f>RawMaterials[[#This Row],[Lab Price 4]]/RawMaterials[[#This Row],[Lab Q Model Units 4]]</f>
        <v>#N/A</v>
      </c>
      <c r="AF564" s="367" t="str">
        <f ca="1">IF(RawMaterials[[#This Row],[Lab Quote Count]]&gt;1,SLOPE(LOG(INDIRECT("RawMaterials[@[Lab Unit P 1]:[Lab Unit P "&amp;RawMaterials[[#This Row],[Lab Quote Count]]&amp;"]]")),LOG(INDIRECT("RawMaterials[@[Lab Q Model Units 1]:[Lab Q Model Units "&amp;RawMaterials[[#This Row],[Lab Quote Count]]&amp;"]]"))),"")</f>
        <v/>
      </c>
      <c r="AG564" s="367" t="str">
        <f ca="1">IF(RawMaterials[[#This Row],[Lab Quote Count]]&gt;1,INTERCEPT(LOG(INDIRECT("RawMaterials[@[Lab Unit P 1]:[Lab Unit P "&amp;RawMaterials[[#This Row],[Lab Quote Count]]&amp;"]]")),LOG(INDIRECT("RawMaterials[@[Lab Q Model Units 1]:[Lab Q Model Units "&amp;RawMaterials[[#This Row],[Lab Quote Count]]&amp;"]]"))),"")</f>
        <v/>
      </c>
      <c r="AH564" s="368" t="str">
        <f>IF(RawMaterials[[#This Row],[Material Type]]="Metal Precursor","D13",IF(RawMaterials[[#This Row],[Material Type]]="Ligand","D13","D12"))</f>
        <v>D12</v>
      </c>
      <c r="AI564" s="369" t="str">
        <f ca="1">IF(RawMaterials[[#This Row],[Lab Quote Count]]&gt;1,10^RawMaterials[[#This Row],[Lab Log-Log Intercept]]*INDIRECT(RawMaterials[[#This Row],[Basis Cell]])^RawMaterials[[#This Row],[Lab Log-Log Slope]],"&gt;&gt;&gt; Enter 2 or more lab quotes &lt;&lt;&lt;")</f>
        <v>&gt;&gt;&gt; Enter 2 or more lab quotes &lt;&lt;&lt;</v>
      </c>
      <c r="AJ56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0.115</v>
      </c>
      <c r="AL564" s="372">
        <f>IF(ISTEXT(RawMaterials[[#This Row],[Unit price in quote year]]),"Check calcs",RawMaterials[[#This Row],[Unit price in quote year]]/VLOOKUP(RawMaterials[[#This Row],[Quote Year]],ChemPPI[],14,FALSE)*VLOOKUP(BasisYear,ChemPPI[],14,FALSE))</f>
        <v>0.15607977642276427</v>
      </c>
      <c r="AM564" s="373" t="str">
        <f t="shared" si="8"/>
        <v>$/lb (2016)</v>
      </c>
    </row>
    <row r="565" spans="1:39">
      <c r="A565" s="263" t="s">
        <v>1660</v>
      </c>
      <c r="B565" s="264"/>
      <c r="C565" s="271"/>
      <c r="D565" s="270"/>
      <c r="E565" s="264">
        <v>100</v>
      </c>
      <c r="F565" s="264"/>
      <c r="G565" s="271"/>
      <c r="H565" s="271"/>
      <c r="I565" s="268"/>
      <c r="J565" s="271"/>
      <c r="K565" s="271"/>
      <c r="L565" s="271"/>
      <c r="M565" s="271"/>
      <c r="N565" s="271"/>
      <c r="O565" s="271"/>
      <c r="P565" s="265">
        <v>408.75</v>
      </c>
      <c r="Q565" s="264">
        <v>1</v>
      </c>
      <c r="R565" s="264" t="s">
        <v>406</v>
      </c>
      <c r="S565" s="264">
        <v>2006</v>
      </c>
      <c r="T565" s="266" t="s">
        <v>163</v>
      </c>
      <c r="U565" s="267">
        <v>42653</v>
      </c>
      <c r="V565" s="269"/>
      <c r="W565" s="366">
        <f>COUNT(RawMaterials[[#This Row],[Lab Quantity 1]:[Lab Quantity 4]])</f>
        <v>0</v>
      </c>
      <c r="X56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5" s="367" t="e">
        <f>RawMaterials[[#This Row],[Lab Price 1]]/RawMaterials[[#This Row],[Lab Q Model Units 1]]</f>
        <v>#N/A</v>
      </c>
      <c r="AC565" s="367" t="e">
        <f>RawMaterials[[#This Row],[Lab Price 2]]/RawMaterials[[#This Row],[Lab Q Model Units 2]]</f>
        <v>#N/A</v>
      </c>
      <c r="AD565" s="367" t="e">
        <f>RawMaterials[[#This Row],[Lab Price 3]]/RawMaterials[[#This Row],[Lab Q Model Units 3]]</f>
        <v>#N/A</v>
      </c>
      <c r="AE565" s="367" t="e">
        <f>RawMaterials[[#This Row],[Lab Price 4]]/RawMaterials[[#This Row],[Lab Q Model Units 4]]</f>
        <v>#N/A</v>
      </c>
      <c r="AF565" s="367" t="str">
        <f ca="1">IF(RawMaterials[[#This Row],[Lab Quote Count]]&gt;1,SLOPE(LOG(INDIRECT("RawMaterials[@[Lab Unit P 1]:[Lab Unit P "&amp;RawMaterials[[#This Row],[Lab Quote Count]]&amp;"]]")),LOG(INDIRECT("RawMaterials[@[Lab Q Model Units 1]:[Lab Q Model Units "&amp;RawMaterials[[#This Row],[Lab Quote Count]]&amp;"]]"))),"")</f>
        <v/>
      </c>
      <c r="AG565" s="367" t="str">
        <f ca="1">IF(RawMaterials[[#This Row],[Lab Quote Count]]&gt;1,INTERCEPT(LOG(INDIRECT("RawMaterials[@[Lab Unit P 1]:[Lab Unit P "&amp;RawMaterials[[#This Row],[Lab Quote Count]]&amp;"]]")),LOG(INDIRECT("RawMaterials[@[Lab Q Model Units 1]:[Lab Q Model Units "&amp;RawMaterials[[#This Row],[Lab Quote Count]]&amp;"]]"))),"")</f>
        <v/>
      </c>
      <c r="AH565" s="368" t="str">
        <f>IF(RawMaterials[[#This Row],[Material Type]]="Metal Precursor","D13",IF(RawMaterials[[#This Row],[Material Type]]="Ligand","D13","D12"))</f>
        <v>D12</v>
      </c>
      <c r="AI565" s="369" t="str">
        <f ca="1">IF(RawMaterials[[#This Row],[Lab Quote Count]]&gt;1,10^RawMaterials[[#This Row],[Lab Log-Log Intercept]]*INDIRECT(RawMaterials[[#This Row],[Basis Cell]])^RawMaterials[[#This Row],[Lab Log-Log Slope]],"&gt;&gt;&gt; Enter 2 or more lab quotes &lt;&lt;&lt;")</f>
        <v>&gt;&gt;&gt; Enter 2 or more lab quotes &lt;&lt;&lt;</v>
      </c>
      <c r="AJ56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0.204375</v>
      </c>
      <c r="AL565" s="372">
        <f>IF(ISTEXT(RawMaterials[[#This Row],[Unit price in quote year]]),"Check calcs",RawMaterials[[#This Row],[Unit price in quote year]]/VLOOKUP(RawMaterials[[#This Row],[Quote Year]],ChemPPI[],14,FALSE)*VLOOKUP(BasisYear,ChemPPI[],14,FALSE))</f>
        <v>0.27738090701219514</v>
      </c>
      <c r="AM565" s="373" t="str">
        <f t="shared" si="8"/>
        <v>$/lb (2016)</v>
      </c>
    </row>
    <row r="566" spans="1:39">
      <c r="A566" s="263" t="s">
        <v>1661</v>
      </c>
      <c r="B566" s="264"/>
      <c r="C566" s="271"/>
      <c r="D566" s="270"/>
      <c r="E566" s="264">
        <v>100</v>
      </c>
      <c r="F566" s="264"/>
      <c r="G566" s="271"/>
      <c r="H566" s="271"/>
      <c r="I566" s="268"/>
      <c r="J566" s="271"/>
      <c r="K566" s="271"/>
      <c r="L566" s="271"/>
      <c r="M566" s="271"/>
      <c r="N566" s="271"/>
      <c r="O566" s="271"/>
      <c r="P566" s="265">
        <v>0.43</v>
      </c>
      <c r="Q566" s="264">
        <v>1</v>
      </c>
      <c r="R566" s="264" t="s">
        <v>1123</v>
      </c>
      <c r="S566" s="264">
        <v>2008</v>
      </c>
      <c r="T566" s="266" t="s">
        <v>163</v>
      </c>
      <c r="U566" s="267">
        <v>42653</v>
      </c>
      <c r="V566" s="269"/>
      <c r="W566" s="366">
        <f>COUNT(RawMaterials[[#This Row],[Lab Quantity 1]:[Lab Quantity 4]])</f>
        <v>0</v>
      </c>
      <c r="X56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6" s="367" t="e">
        <f>RawMaterials[[#This Row],[Lab Price 1]]/RawMaterials[[#This Row],[Lab Q Model Units 1]]</f>
        <v>#N/A</v>
      </c>
      <c r="AC566" s="367" t="e">
        <f>RawMaterials[[#This Row],[Lab Price 2]]/RawMaterials[[#This Row],[Lab Q Model Units 2]]</f>
        <v>#N/A</v>
      </c>
      <c r="AD566" s="367" t="e">
        <f>RawMaterials[[#This Row],[Lab Price 3]]/RawMaterials[[#This Row],[Lab Q Model Units 3]]</f>
        <v>#N/A</v>
      </c>
      <c r="AE566" s="367" t="e">
        <f>RawMaterials[[#This Row],[Lab Price 4]]/RawMaterials[[#This Row],[Lab Q Model Units 4]]</f>
        <v>#N/A</v>
      </c>
      <c r="AF566" s="367" t="str">
        <f ca="1">IF(RawMaterials[[#This Row],[Lab Quote Count]]&gt;1,SLOPE(LOG(INDIRECT("RawMaterials[@[Lab Unit P 1]:[Lab Unit P "&amp;RawMaterials[[#This Row],[Lab Quote Count]]&amp;"]]")),LOG(INDIRECT("RawMaterials[@[Lab Q Model Units 1]:[Lab Q Model Units "&amp;RawMaterials[[#This Row],[Lab Quote Count]]&amp;"]]"))),"")</f>
        <v/>
      </c>
      <c r="AG566" s="367" t="str">
        <f ca="1">IF(RawMaterials[[#This Row],[Lab Quote Count]]&gt;1,INTERCEPT(LOG(INDIRECT("RawMaterials[@[Lab Unit P 1]:[Lab Unit P "&amp;RawMaterials[[#This Row],[Lab Quote Count]]&amp;"]]")),LOG(INDIRECT("RawMaterials[@[Lab Q Model Units 1]:[Lab Q Model Units "&amp;RawMaterials[[#This Row],[Lab Quote Count]]&amp;"]]"))),"")</f>
        <v/>
      </c>
      <c r="AH566" s="368" t="str">
        <f>IF(RawMaterials[[#This Row],[Material Type]]="Metal Precursor","D13",IF(RawMaterials[[#This Row],[Material Type]]="Ligand","D13","D12"))</f>
        <v>D12</v>
      </c>
      <c r="AI566" s="369" t="str">
        <f ca="1">IF(RawMaterials[[#This Row],[Lab Quote Count]]&gt;1,10^RawMaterials[[#This Row],[Lab Log-Log Intercept]]*INDIRECT(RawMaterials[[#This Row],[Basis Cell]])^RawMaterials[[#This Row],[Lab Log-Log Slope]],"&gt;&gt;&gt; Enter 2 or more lab quotes &lt;&lt;&lt;")</f>
        <v>&gt;&gt;&gt; Enter 2 or more lab quotes &lt;&lt;&lt;</v>
      </c>
      <c r="AJ56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1.9504471909999999E-4</v>
      </c>
      <c r="AL566" s="372">
        <f>IF(ISTEXT(RawMaterials[[#This Row],[Unit price in quote year]]),"Check calcs",RawMaterials[[#This Row],[Unit price in quote year]]/VLOOKUP(RawMaterials[[#This Row],[Quote Year]],ChemPPI[],14,FALSE)*VLOOKUP(BasisYear,ChemPPI[],14,FALSE))</f>
        <v>2.2828458413705314E-4</v>
      </c>
      <c r="AM566" s="373" t="str">
        <f t="shared" si="8"/>
        <v>$/lb (2016)</v>
      </c>
    </row>
    <row r="567" spans="1:39">
      <c r="A567" s="263" t="s">
        <v>1662</v>
      </c>
      <c r="B567" s="264"/>
      <c r="C567" s="271"/>
      <c r="D567" s="365"/>
      <c r="E567" s="264">
        <v>100</v>
      </c>
      <c r="F567" s="264"/>
      <c r="G567" s="271"/>
      <c r="H567" s="271"/>
      <c r="I567" s="268"/>
      <c r="J567" s="271"/>
      <c r="K567" s="271"/>
      <c r="L567" s="271"/>
      <c r="M567" s="271"/>
      <c r="N567" s="271"/>
      <c r="O567" s="271"/>
      <c r="P567" s="265">
        <v>344.96499999999997</v>
      </c>
      <c r="Q567" s="264">
        <v>1</v>
      </c>
      <c r="R567" s="264" t="s">
        <v>1123</v>
      </c>
      <c r="S567" s="264">
        <v>2008</v>
      </c>
      <c r="T567" s="266" t="s">
        <v>163</v>
      </c>
      <c r="U567" s="267">
        <v>42653</v>
      </c>
      <c r="V567" s="269"/>
      <c r="W567" s="366">
        <f>COUNT(RawMaterials[[#This Row],[Lab Quantity 1]:[Lab Quantity 4]])</f>
        <v>0</v>
      </c>
      <c r="X56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7" s="367" t="e">
        <f>RawMaterials[[#This Row],[Lab Price 1]]/RawMaterials[[#This Row],[Lab Q Model Units 1]]</f>
        <v>#N/A</v>
      </c>
      <c r="AC567" s="367" t="e">
        <f>RawMaterials[[#This Row],[Lab Price 2]]/RawMaterials[[#This Row],[Lab Q Model Units 2]]</f>
        <v>#N/A</v>
      </c>
      <c r="AD567" s="367" t="e">
        <f>RawMaterials[[#This Row],[Lab Price 3]]/RawMaterials[[#This Row],[Lab Q Model Units 3]]</f>
        <v>#N/A</v>
      </c>
      <c r="AE567" s="367" t="e">
        <f>RawMaterials[[#This Row],[Lab Price 4]]/RawMaterials[[#This Row],[Lab Q Model Units 4]]</f>
        <v>#N/A</v>
      </c>
      <c r="AF567" s="367" t="str">
        <f ca="1">IF(RawMaterials[[#This Row],[Lab Quote Count]]&gt;1,SLOPE(LOG(INDIRECT("RawMaterials[@[Lab Unit P 1]:[Lab Unit P "&amp;RawMaterials[[#This Row],[Lab Quote Count]]&amp;"]]")),LOG(INDIRECT("RawMaterials[@[Lab Q Model Units 1]:[Lab Q Model Units "&amp;RawMaterials[[#This Row],[Lab Quote Count]]&amp;"]]"))),"")</f>
        <v/>
      </c>
      <c r="AG567" s="367" t="str">
        <f ca="1">IF(RawMaterials[[#This Row],[Lab Quote Count]]&gt;1,INTERCEPT(LOG(INDIRECT("RawMaterials[@[Lab Unit P 1]:[Lab Unit P "&amp;RawMaterials[[#This Row],[Lab Quote Count]]&amp;"]]")),LOG(INDIRECT("RawMaterials[@[Lab Q Model Units 1]:[Lab Q Model Units "&amp;RawMaterials[[#This Row],[Lab Quote Count]]&amp;"]]"))),"")</f>
        <v/>
      </c>
      <c r="AH567" s="368" t="str">
        <f>IF(RawMaterials[[#This Row],[Material Type]]="Metal Precursor","D13",IF(RawMaterials[[#This Row],[Material Type]]="Ligand","D13","D12"))</f>
        <v>D12</v>
      </c>
      <c r="AI567" s="369" t="str">
        <f ca="1">IF(RawMaterials[[#This Row],[Lab Quote Count]]&gt;1,10^RawMaterials[[#This Row],[Lab Log-Log Intercept]]*INDIRECT(RawMaterials[[#This Row],[Basis Cell]])^RawMaterials[[#This Row],[Lab Log-Log Slope]],"&gt;&gt;&gt; Enter 2 or more lab quotes &lt;&lt;&lt;")</f>
        <v>&gt;&gt;&gt; Enter 2 or more lab quotes &lt;&lt;&lt;</v>
      </c>
      <c r="AJ56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2204.6226218487759</v>
      </c>
      <c r="AK56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0.15647349191704998</v>
      </c>
      <c r="AL567" s="372">
        <f>IF(ISTEXT(RawMaterials[[#This Row],[Unit price in quote year]]),"Check calcs",RawMaterials[[#This Row],[Unit price in quote year]]/VLOOKUP(RawMaterials[[#This Row],[Quote Year]],ChemPPI[],14,FALSE)*VLOOKUP(BasisYear,ChemPPI[],14,FALSE))</f>
        <v>0.18313998038799659</v>
      </c>
      <c r="AM567" s="373" t="str">
        <f t="shared" si="8"/>
        <v>$/lb (2016)</v>
      </c>
    </row>
    <row r="568" spans="1:39">
      <c r="A568" s="263" t="s">
        <v>1663</v>
      </c>
      <c r="B568" s="264"/>
      <c r="C568" s="271"/>
      <c r="D568" s="365"/>
      <c r="E568" s="264">
        <v>100</v>
      </c>
      <c r="F568" s="264"/>
      <c r="G568" s="271"/>
      <c r="H568" s="271"/>
      <c r="I568" s="268"/>
      <c r="J568" s="271"/>
      <c r="K568" s="271"/>
      <c r="L568" s="271"/>
      <c r="M568" s="271"/>
      <c r="N568" s="271"/>
      <c r="O568" s="271"/>
      <c r="P568" s="265">
        <v>94</v>
      </c>
      <c r="Q568" s="264">
        <v>1</v>
      </c>
      <c r="R568" s="264" t="s">
        <v>406</v>
      </c>
      <c r="S568" s="264">
        <v>2006</v>
      </c>
      <c r="T568" s="266" t="s">
        <v>163</v>
      </c>
      <c r="U568" s="267">
        <v>42653</v>
      </c>
      <c r="V568" s="269"/>
      <c r="W568" s="366">
        <f>COUNT(RawMaterials[[#This Row],[Lab Quantity 1]:[Lab Quantity 4]])</f>
        <v>0</v>
      </c>
      <c r="X56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8" s="367" t="e">
        <f>RawMaterials[[#This Row],[Lab Price 1]]/RawMaterials[[#This Row],[Lab Q Model Units 1]]</f>
        <v>#N/A</v>
      </c>
      <c r="AC568" s="367" t="e">
        <f>RawMaterials[[#This Row],[Lab Price 2]]/RawMaterials[[#This Row],[Lab Q Model Units 2]]</f>
        <v>#N/A</v>
      </c>
      <c r="AD568" s="367" t="e">
        <f>RawMaterials[[#This Row],[Lab Price 3]]/RawMaterials[[#This Row],[Lab Q Model Units 3]]</f>
        <v>#N/A</v>
      </c>
      <c r="AE568" s="367" t="e">
        <f>RawMaterials[[#This Row],[Lab Price 4]]/RawMaterials[[#This Row],[Lab Q Model Units 4]]</f>
        <v>#N/A</v>
      </c>
      <c r="AF568" s="367" t="str">
        <f ca="1">IF(RawMaterials[[#This Row],[Lab Quote Count]]&gt;1,SLOPE(LOG(INDIRECT("RawMaterials[@[Lab Unit P 1]:[Lab Unit P "&amp;RawMaterials[[#This Row],[Lab Quote Count]]&amp;"]]")),LOG(INDIRECT("RawMaterials[@[Lab Q Model Units 1]:[Lab Q Model Units "&amp;RawMaterials[[#This Row],[Lab Quote Count]]&amp;"]]"))),"")</f>
        <v/>
      </c>
      <c r="AG568" s="367" t="str">
        <f ca="1">IF(RawMaterials[[#This Row],[Lab Quote Count]]&gt;1,INTERCEPT(LOG(INDIRECT("RawMaterials[@[Lab Unit P 1]:[Lab Unit P "&amp;RawMaterials[[#This Row],[Lab Quote Count]]&amp;"]]")),LOG(INDIRECT("RawMaterials[@[Lab Q Model Units 1]:[Lab Q Model Units "&amp;RawMaterials[[#This Row],[Lab Quote Count]]&amp;"]]"))),"")</f>
        <v/>
      </c>
      <c r="AH568" s="368" t="str">
        <f>IF(RawMaterials[[#This Row],[Material Type]]="Metal Precursor","D13",IF(RawMaterials[[#This Row],[Material Type]]="Ligand","D13","D12"))</f>
        <v>D12</v>
      </c>
      <c r="AI568" s="369" t="str">
        <f ca="1">IF(RawMaterials[[#This Row],[Lab Quote Count]]&gt;1,10^RawMaterials[[#This Row],[Lab Log-Log Intercept]]*INDIRECT(RawMaterials[[#This Row],[Basis Cell]])^RawMaterials[[#This Row],[Lab Log-Log Slope]],"&gt;&gt;&gt; Enter 2 or more lab quotes &lt;&lt;&lt;")</f>
        <v>&gt;&gt;&gt; Enter 2 or more lab quotes &lt;&lt;&lt;</v>
      </c>
      <c r="AJ56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68" s="372">
        <f>IF(ISTEXT(RawMaterials[[#This Row],[Unit price in quote year]]),"Check calcs",RawMaterials[[#This Row],[Unit price in quote year]]/VLOOKUP(RawMaterials[[#This Row],[Quote Year]],ChemPPI[],14,FALSE)*VLOOKUP(BasisYear,ChemPPI[],14,FALSE))</f>
        <v>6.3789126016260175E-2</v>
      </c>
      <c r="AM568" s="373" t="str">
        <f t="shared" si="8"/>
        <v>$/lb (2016)</v>
      </c>
    </row>
    <row r="569" spans="1:39">
      <c r="A569" s="263" t="s">
        <v>1664</v>
      </c>
      <c r="B569" s="264"/>
      <c r="C569" s="271"/>
      <c r="D569" s="365"/>
      <c r="E569" s="264">
        <v>100</v>
      </c>
      <c r="F569" s="264"/>
      <c r="G569" s="271"/>
      <c r="H569" s="271"/>
      <c r="I569" s="268"/>
      <c r="J569" s="271"/>
      <c r="K569" s="271"/>
      <c r="L569" s="271"/>
      <c r="M569" s="271"/>
      <c r="N569" s="271"/>
      <c r="O569" s="271"/>
      <c r="P569" s="265">
        <v>56</v>
      </c>
      <c r="Q569" s="264">
        <v>1</v>
      </c>
      <c r="R569" s="264" t="s">
        <v>406</v>
      </c>
      <c r="S569" s="264">
        <v>2006</v>
      </c>
      <c r="T569" s="266" t="s">
        <v>163</v>
      </c>
      <c r="U569" s="267">
        <v>42653</v>
      </c>
      <c r="V569" s="269"/>
      <c r="W569" s="366">
        <f>COUNT(RawMaterials[[#This Row],[Lab Quantity 1]:[Lab Quantity 4]])</f>
        <v>0</v>
      </c>
      <c r="X56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6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6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6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69" s="367" t="e">
        <f>RawMaterials[[#This Row],[Lab Price 1]]/RawMaterials[[#This Row],[Lab Q Model Units 1]]</f>
        <v>#N/A</v>
      </c>
      <c r="AC569" s="367" t="e">
        <f>RawMaterials[[#This Row],[Lab Price 2]]/RawMaterials[[#This Row],[Lab Q Model Units 2]]</f>
        <v>#N/A</v>
      </c>
      <c r="AD569" s="367" t="e">
        <f>RawMaterials[[#This Row],[Lab Price 3]]/RawMaterials[[#This Row],[Lab Q Model Units 3]]</f>
        <v>#N/A</v>
      </c>
      <c r="AE569" s="367" t="e">
        <f>RawMaterials[[#This Row],[Lab Price 4]]/RawMaterials[[#This Row],[Lab Q Model Units 4]]</f>
        <v>#N/A</v>
      </c>
      <c r="AF569" s="367" t="str">
        <f ca="1">IF(RawMaterials[[#This Row],[Lab Quote Count]]&gt;1,SLOPE(LOG(INDIRECT("RawMaterials[@[Lab Unit P 1]:[Lab Unit P "&amp;RawMaterials[[#This Row],[Lab Quote Count]]&amp;"]]")),LOG(INDIRECT("RawMaterials[@[Lab Q Model Units 1]:[Lab Q Model Units "&amp;RawMaterials[[#This Row],[Lab Quote Count]]&amp;"]]"))),"")</f>
        <v/>
      </c>
      <c r="AG569" s="367" t="str">
        <f ca="1">IF(RawMaterials[[#This Row],[Lab Quote Count]]&gt;1,INTERCEPT(LOG(INDIRECT("RawMaterials[@[Lab Unit P 1]:[Lab Unit P "&amp;RawMaterials[[#This Row],[Lab Quote Count]]&amp;"]]")),LOG(INDIRECT("RawMaterials[@[Lab Q Model Units 1]:[Lab Q Model Units "&amp;RawMaterials[[#This Row],[Lab Quote Count]]&amp;"]]"))),"")</f>
        <v/>
      </c>
      <c r="AH569" s="368" t="str">
        <f>IF(RawMaterials[[#This Row],[Material Type]]="Metal Precursor","D13",IF(RawMaterials[[#This Row],[Material Type]]="Ligand","D13","D12"))</f>
        <v>D12</v>
      </c>
      <c r="AI569" s="369" t="str">
        <f ca="1">IF(RawMaterials[[#This Row],[Lab Quote Count]]&gt;1,10^RawMaterials[[#This Row],[Lab Log-Log Intercept]]*INDIRECT(RawMaterials[[#This Row],[Basis Cell]])^RawMaterials[[#This Row],[Lab Log-Log Slope]],"&gt;&gt;&gt; Enter 2 or more lab quotes &lt;&lt;&lt;")</f>
        <v>&gt;&gt;&gt; Enter 2 or more lab quotes &lt;&lt;&lt;</v>
      </c>
      <c r="AJ56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6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2.8000000000000001E-2</v>
      </c>
      <c r="AL569" s="372">
        <f>IF(ISTEXT(RawMaterials[[#This Row],[Unit price in quote year]]),"Check calcs",RawMaterials[[#This Row],[Unit price in quote year]]/VLOOKUP(RawMaterials[[#This Row],[Quote Year]],ChemPPI[],14,FALSE)*VLOOKUP(BasisYear,ChemPPI[],14,FALSE))</f>
        <v>3.8002032520325212E-2</v>
      </c>
      <c r="AM569" s="373" t="str">
        <f t="shared" si="8"/>
        <v>$/lb (2016)</v>
      </c>
    </row>
    <row r="570" spans="1:39">
      <c r="A570" s="263" t="s">
        <v>1665</v>
      </c>
      <c r="B570" s="264"/>
      <c r="C570" s="271"/>
      <c r="D570" s="365"/>
      <c r="E570" s="264">
        <v>100</v>
      </c>
      <c r="F570" s="264"/>
      <c r="G570" s="271"/>
      <c r="H570" s="271"/>
      <c r="I570" s="268"/>
      <c r="J570" s="271"/>
      <c r="K570" s="271"/>
      <c r="L570" s="271"/>
      <c r="M570" s="271"/>
      <c r="N570" s="271"/>
      <c r="O570" s="271"/>
      <c r="P570" s="265">
        <v>67</v>
      </c>
      <c r="Q570" s="264">
        <v>1</v>
      </c>
      <c r="R570" s="264" t="s">
        <v>406</v>
      </c>
      <c r="S570" s="264">
        <v>2006</v>
      </c>
      <c r="T570" s="266" t="s">
        <v>163</v>
      </c>
      <c r="U570" s="267">
        <v>42653</v>
      </c>
      <c r="V570" s="269"/>
      <c r="W570" s="366">
        <f>COUNT(RawMaterials[[#This Row],[Lab Quantity 1]:[Lab Quantity 4]])</f>
        <v>0</v>
      </c>
      <c r="X57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0" s="367" t="e">
        <f>RawMaterials[[#This Row],[Lab Price 1]]/RawMaterials[[#This Row],[Lab Q Model Units 1]]</f>
        <v>#N/A</v>
      </c>
      <c r="AC570" s="367" t="e">
        <f>RawMaterials[[#This Row],[Lab Price 2]]/RawMaterials[[#This Row],[Lab Q Model Units 2]]</f>
        <v>#N/A</v>
      </c>
      <c r="AD570" s="367" t="e">
        <f>RawMaterials[[#This Row],[Lab Price 3]]/RawMaterials[[#This Row],[Lab Q Model Units 3]]</f>
        <v>#N/A</v>
      </c>
      <c r="AE570" s="367" t="e">
        <f>RawMaterials[[#This Row],[Lab Price 4]]/RawMaterials[[#This Row],[Lab Q Model Units 4]]</f>
        <v>#N/A</v>
      </c>
      <c r="AF570" s="367" t="str">
        <f ca="1">IF(RawMaterials[[#This Row],[Lab Quote Count]]&gt;1,SLOPE(LOG(INDIRECT("RawMaterials[@[Lab Unit P 1]:[Lab Unit P "&amp;RawMaterials[[#This Row],[Lab Quote Count]]&amp;"]]")),LOG(INDIRECT("RawMaterials[@[Lab Q Model Units 1]:[Lab Q Model Units "&amp;RawMaterials[[#This Row],[Lab Quote Count]]&amp;"]]"))),"")</f>
        <v/>
      </c>
      <c r="AG570" s="367" t="str">
        <f ca="1">IF(RawMaterials[[#This Row],[Lab Quote Count]]&gt;1,INTERCEPT(LOG(INDIRECT("RawMaterials[@[Lab Unit P 1]:[Lab Unit P "&amp;RawMaterials[[#This Row],[Lab Quote Count]]&amp;"]]")),LOG(INDIRECT("RawMaterials[@[Lab Q Model Units 1]:[Lab Q Model Units "&amp;RawMaterials[[#This Row],[Lab Quote Count]]&amp;"]]"))),"")</f>
        <v/>
      </c>
      <c r="AH570" s="368" t="str">
        <f>IF(RawMaterials[[#This Row],[Material Type]]="Metal Precursor","D13",IF(RawMaterials[[#This Row],[Material Type]]="Ligand","D13","D12"))</f>
        <v>D12</v>
      </c>
      <c r="AI570" s="369" t="str">
        <f ca="1">IF(RawMaterials[[#This Row],[Lab Quote Count]]&gt;1,10^RawMaterials[[#This Row],[Lab Log-Log Intercept]]*INDIRECT(RawMaterials[[#This Row],[Basis Cell]])^RawMaterials[[#This Row],[Lab Log-Log Slope]],"&gt;&gt;&gt; Enter 2 or more lab quotes &lt;&lt;&lt;")</f>
        <v>&gt;&gt;&gt; Enter 2 or more lab quotes &lt;&lt;&lt;</v>
      </c>
      <c r="AJ57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3.3500000000000002E-2</v>
      </c>
      <c r="AL570" s="372">
        <f>IF(ISTEXT(RawMaterials[[#This Row],[Unit price in quote year]]),"Check calcs",RawMaterials[[#This Row],[Unit price in quote year]]/VLOOKUP(RawMaterials[[#This Row],[Quote Year]],ChemPPI[],14,FALSE)*VLOOKUP(BasisYear,ChemPPI[],14,FALSE))</f>
        <v>4.5466717479674811E-2</v>
      </c>
      <c r="AM570" s="373" t="str">
        <f t="shared" si="8"/>
        <v>$/lb (2016)</v>
      </c>
    </row>
    <row r="571" spans="1:39">
      <c r="A571" s="263" t="s">
        <v>1666</v>
      </c>
      <c r="B571" s="264"/>
      <c r="C571" s="271"/>
      <c r="D571" s="365"/>
      <c r="E571" s="264">
        <v>100</v>
      </c>
      <c r="F571" s="264"/>
      <c r="G571" s="271"/>
      <c r="H571" s="271"/>
      <c r="I571" s="268"/>
      <c r="J571" s="271"/>
      <c r="K571" s="271"/>
      <c r="L571" s="271"/>
      <c r="M571" s="271"/>
      <c r="N571" s="271"/>
      <c r="O571" s="271"/>
      <c r="P571" s="265">
        <v>27.5</v>
      </c>
      <c r="Q571" s="264">
        <v>1</v>
      </c>
      <c r="R571" s="264" t="s">
        <v>406</v>
      </c>
      <c r="S571" s="264">
        <v>2006</v>
      </c>
      <c r="T571" s="266" t="s">
        <v>163</v>
      </c>
      <c r="U571" s="267">
        <v>42653</v>
      </c>
      <c r="V571" s="269"/>
      <c r="W571" s="366">
        <f>COUNT(RawMaterials[[#This Row],[Lab Quantity 1]:[Lab Quantity 4]])</f>
        <v>0</v>
      </c>
      <c r="X57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1" s="367" t="e">
        <f>RawMaterials[[#This Row],[Lab Price 1]]/RawMaterials[[#This Row],[Lab Q Model Units 1]]</f>
        <v>#N/A</v>
      </c>
      <c r="AC571" s="367" t="e">
        <f>RawMaterials[[#This Row],[Lab Price 2]]/RawMaterials[[#This Row],[Lab Q Model Units 2]]</f>
        <v>#N/A</v>
      </c>
      <c r="AD571" s="367" t="e">
        <f>RawMaterials[[#This Row],[Lab Price 3]]/RawMaterials[[#This Row],[Lab Q Model Units 3]]</f>
        <v>#N/A</v>
      </c>
      <c r="AE571" s="367" t="e">
        <f>RawMaterials[[#This Row],[Lab Price 4]]/RawMaterials[[#This Row],[Lab Q Model Units 4]]</f>
        <v>#N/A</v>
      </c>
      <c r="AF571" s="367" t="str">
        <f ca="1">IF(RawMaterials[[#This Row],[Lab Quote Count]]&gt;1,SLOPE(LOG(INDIRECT("RawMaterials[@[Lab Unit P 1]:[Lab Unit P "&amp;RawMaterials[[#This Row],[Lab Quote Count]]&amp;"]]")),LOG(INDIRECT("RawMaterials[@[Lab Q Model Units 1]:[Lab Q Model Units "&amp;RawMaterials[[#This Row],[Lab Quote Count]]&amp;"]]"))),"")</f>
        <v/>
      </c>
      <c r="AG571" s="367" t="str">
        <f ca="1">IF(RawMaterials[[#This Row],[Lab Quote Count]]&gt;1,INTERCEPT(LOG(INDIRECT("RawMaterials[@[Lab Unit P 1]:[Lab Unit P "&amp;RawMaterials[[#This Row],[Lab Quote Count]]&amp;"]]")),LOG(INDIRECT("RawMaterials[@[Lab Q Model Units 1]:[Lab Q Model Units "&amp;RawMaterials[[#This Row],[Lab Quote Count]]&amp;"]]"))),"")</f>
        <v/>
      </c>
      <c r="AH571" s="368" t="str">
        <f>IF(RawMaterials[[#This Row],[Material Type]]="Metal Precursor","D13",IF(RawMaterials[[#This Row],[Material Type]]="Ligand","D13","D12"))</f>
        <v>D12</v>
      </c>
      <c r="AI571" s="369" t="str">
        <f ca="1">IF(RawMaterials[[#This Row],[Lab Quote Count]]&gt;1,10^RawMaterials[[#This Row],[Lab Log-Log Intercept]]*INDIRECT(RawMaterials[[#This Row],[Basis Cell]])^RawMaterials[[#This Row],[Lab Log-Log Slope]],"&gt;&gt;&gt; Enter 2 or more lab quotes &lt;&lt;&lt;")</f>
        <v>&gt;&gt;&gt; Enter 2 or more lab quotes &lt;&lt;&lt;</v>
      </c>
      <c r="AJ57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1.375E-2</v>
      </c>
      <c r="AL571" s="372">
        <f>IF(ISTEXT(RawMaterials[[#This Row],[Unit price in quote year]]),"Check calcs",RawMaterials[[#This Row],[Unit price in quote year]]/VLOOKUP(RawMaterials[[#This Row],[Quote Year]],ChemPPI[],14,FALSE)*VLOOKUP(BasisYear,ChemPPI[],14,FALSE))</f>
        <v>1.8661712398373987E-2</v>
      </c>
      <c r="AM571" s="373" t="str">
        <f t="shared" si="8"/>
        <v>$/lb (2016)</v>
      </c>
    </row>
    <row r="572" spans="1:39">
      <c r="A572" s="263" t="s">
        <v>1667</v>
      </c>
      <c r="B572" s="264"/>
      <c r="C572" s="271"/>
      <c r="D572" s="365"/>
      <c r="E572" s="264">
        <v>100</v>
      </c>
      <c r="F572" s="264"/>
      <c r="G572" s="271"/>
      <c r="H572" s="271"/>
      <c r="I572" s="268"/>
      <c r="J572" s="271"/>
      <c r="K572" s="271"/>
      <c r="L572" s="271"/>
      <c r="M572" s="271"/>
      <c r="N572" s="271"/>
      <c r="O572" s="271"/>
      <c r="P572" s="265">
        <v>1450</v>
      </c>
      <c r="Q572" s="264">
        <v>1</v>
      </c>
      <c r="R572" s="264" t="s">
        <v>406</v>
      </c>
      <c r="S572" s="264">
        <v>2006</v>
      </c>
      <c r="T572" s="266" t="s">
        <v>163</v>
      </c>
      <c r="U572" s="267">
        <v>42653</v>
      </c>
      <c r="V572" s="269"/>
      <c r="W572" s="366">
        <f>COUNT(RawMaterials[[#This Row],[Lab Quantity 1]:[Lab Quantity 4]])</f>
        <v>0</v>
      </c>
      <c r="X57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2" s="367" t="e">
        <f>RawMaterials[[#This Row],[Lab Price 1]]/RawMaterials[[#This Row],[Lab Q Model Units 1]]</f>
        <v>#N/A</v>
      </c>
      <c r="AC572" s="367" t="e">
        <f>RawMaterials[[#This Row],[Lab Price 2]]/RawMaterials[[#This Row],[Lab Q Model Units 2]]</f>
        <v>#N/A</v>
      </c>
      <c r="AD572" s="367" t="e">
        <f>RawMaterials[[#This Row],[Lab Price 3]]/RawMaterials[[#This Row],[Lab Q Model Units 3]]</f>
        <v>#N/A</v>
      </c>
      <c r="AE572" s="367" t="e">
        <f>RawMaterials[[#This Row],[Lab Price 4]]/RawMaterials[[#This Row],[Lab Q Model Units 4]]</f>
        <v>#N/A</v>
      </c>
      <c r="AF572" s="367" t="str">
        <f ca="1">IF(RawMaterials[[#This Row],[Lab Quote Count]]&gt;1,SLOPE(LOG(INDIRECT("RawMaterials[@[Lab Unit P 1]:[Lab Unit P "&amp;RawMaterials[[#This Row],[Lab Quote Count]]&amp;"]]")),LOG(INDIRECT("RawMaterials[@[Lab Q Model Units 1]:[Lab Q Model Units "&amp;RawMaterials[[#This Row],[Lab Quote Count]]&amp;"]]"))),"")</f>
        <v/>
      </c>
      <c r="AG572" s="367" t="str">
        <f ca="1">IF(RawMaterials[[#This Row],[Lab Quote Count]]&gt;1,INTERCEPT(LOG(INDIRECT("RawMaterials[@[Lab Unit P 1]:[Lab Unit P "&amp;RawMaterials[[#This Row],[Lab Quote Count]]&amp;"]]")),LOG(INDIRECT("RawMaterials[@[Lab Q Model Units 1]:[Lab Q Model Units "&amp;RawMaterials[[#This Row],[Lab Quote Count]]&amp;"]]"))),"")</f>
        <v/>
      </c>
      <c r="AH572" s="368" t="str">
        <f>IF(RawMaterials[[#This Row],[Material Type]]="Metal Precursor","D13",IF(RawMaterials[[#This Row],[Material Type]]="Ligand","D13","D12"))</f>
        <v>D12</v>
      </c>
      <c r="AI572" s="369" t="str">
        <f ca="1">IF(RawMaterials[[#This Row],[Lab Quote Count]]&gt;1,10^RawMaterials[[#This Row],[Lab Log-Log Intercept]]*INDIRECT(RawMaterials[[#This Row],[Basis Cell]])^RawMaterials[[#This Row],[Lab Log-Log Slope]],"&gt;&gt;&gt; Enter 2 or more lab quotes &lt;&lt;&lt;")</f>
        <v>&gt;&gt;&gt; Enter 2 or more lab quotes &lt;&lt;&lt;</v>
      </c>
      <c r="AJ57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0.72499999999999998</v>
      </c>
      <c r="AL572" s="372">
        <f>IF(ISTEXT(RawMaterials[[#This Row],[Unit price in quote year]]),"Check calcs",RawMaterials[[#This Row],[Unit price in quote year]]/VLOOKUP(RawMaterials[[#This Row],[Quote Year]],ChemPPI[],14,FALSE)*VLOOKUP(BasisYear,ChemPPI[],14,FALSE))</f>
        <v>0.98398119918699201</v>
      </c>
      <c r="AM572" s="373" t="str">
        <f t="shared" si="8"/>
        <v>$/lb (2016)</v>
      </c>
    </row>
    <row r="573" spans="1:39">
      <c r="A573" s="263" t="s">
        <v>1668</v>
      </c>
      <c r="B573" s="264"/>
      <c r="C573" s="271"/>
      <c r="D573" s="365"/>
      <c r="E573" s="264">
        <v>100</v>
      </c>
      <c r="F573" s="264"/>
      <c r="G573" s="271"/>
      <c r="H573" s="271"/>
      <c r="I573" s="268"/>
      <c r="J573" s="271"/>
      <c r="K573" s="271"/>
      <c r="L573" s="271"/>
      <c r="M573" s="271"/>
      <c r="N573" s="271"/>
      <c r="O573" s="271"/>
      <c r="P573" s="265">
        <v>87</v>
      </c>
      <c r="Q573" s="264">
        <v>1</v>
      </c>
      <c r="R573" s="264" t="s">
        <v>406</v>
      </c>
      <c r="S573" s="264">
        <v>2006</v>
      </c>
      <c r="T573" s="266" t="s">
        <v>163</v>
      </c>
      <c r="U573" s="267">
        <v>42653</v>
      </c>
      <c r="V573" s="269"/>
      <c r="W573" s="366">
        <f>COUNT(RawMaterials[[#This Row],[Lab Quantity 1]:[Lab Quantity 4]])</f>
        <v>0</v>
      </c>
      <c r="X57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3" s="367" t="e">
        <f>RawMaterials[[#This Row],[Lab Price 1]]/RawMaterials[[#This Row],[Lab Q Model Units 1]]</f>
        <v>#N/A</v>
      </c>
      <c r="AC573" s="367" t="e">
        <f>RawMaterials[[#This Row],[Lab Price 2]]/RawMaterials[[#This Row],[Lab Q Model Units 2]]</f>
        <v>#N/A</v>
      </c>
      <c r="AD573" s="367" t="e">
        <f>RawMaterials[[#This Row],[Lab Price 3]]/RawMaterials[[#This Row],[Lab Q Model Units 3]]</f>
        <v>#N/A</v>
      </c>
      <c r="AE573" s="367" t="e">
        <f>RawMaterials[[#This Row],[Lab Price 4]]/RawMaterials[[#This Row],[Lab Q Model Units 4]]</f>
        <v>#N/A</v>
      </c>
      <c r="AF573" s="367" t="str">
        <f ca="1">IF(RawMaterials[[#This Row],[Lab Quote Count]]&gt;1,SLOPE(LOG(INDIRECT("RawMaterials[@[Lab Unit P 1]:[Lab Unit P "&amp;RawMaterials[[#This Row],[Lab Quote Count]]&amp;"]]")),LOG(INDIRECT("RawMaterials[@[Lab Q Model Units 1]:[Lab Q Model Units "&amp;RawMaterials[[#This Row],[Lab Quote Count]]&amp;"]]"))),"")</f>
        <v/>
      </c>
      <c r="AG573" s="367" t="str">
        <f ca="1">IF(RawMaterials[[#This Row],[Lab Quote Count]]&gt;1,INTERCEPT(LOG(INDIRECT("RawMaterials[@[Lab Unit P 1]:[Lab Unit P "&amp;RawMaterials[[#This Row],[Lab Quote Count]]&amp;"]]")),LOG(INDIRECT("RawMaterials[@[Lab Q Model Units 1]:[Lab Q Model Units "&amp;RawMaterials[[#This Row],[Lab Quote Count]]&amp;"]]"))),"")</f>
        <v/>
      </c>
      <c r="AH573" s="368" t="str">
        <f>IF(RawMaterials[[#This Row],[Material Type]]="Metal Precursor","D13",IF(RawMaterials[[#This Row],[Material Type]]="Ligand","D13","D12"))</f>
        <v>D12</v>
      </c>
      <c r="AI573" s="369" t="str">
        <f ca="1">IF(RawMaterials[[#This Row],[Lab Quote Count]]&gt;1,10^RawMaterials[[#This Row],[Lab Log-Log Intercept]]*INDIRECT(RawMaterials[[#This Row],[Basis Cell]])^RawMaterials[[#This Row],[Lab Log-Log Slope]],"&gt;&gt;&gt; Enter 2 or more lab quotes &lt;&lt;&lt;")</f>
        <v>&gt;&gt;&gt; Enter 2 or more lab quotes &lt;&lt;&lt;</v>
      </c>
      <c r="AJ57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4.3499999999999997E-2</v>
      </c>
      <c r="AL573" s="372">
        <f>IF(ISTEXT(RawMaterials[[#This Row],[Unit price in quote year]]),"Check calcs",RawMaterials[[#This Row],[Unit price in quote year]]/VLOOKUP(RawMaterials[[#This Row],[Quote Year]],ChemPPI[],14,FALSE)*VLOOKUP(BasisYear,ChemPPI[],14,FALSE))</f>
        <v>5.903887195121952E-2</v>
      </c>
      <c r="AM573" s="373" t="str">
        <f t="shared" si="8"/>
        <v>$/lb (2016)</v>
      </c>
    </row>
    <row r="574" spans="1:39">
      <c r="A574" s="263" t="s">
        <v>1669</v>
      </c>
      <c r="B574" s="264"/>
      <c r="C574" s="271"/>
      <c r="D574" s="365"/>
      <c r="E574" s="264">
        <v>100</v>
      </c>
      <c r="F574" s="264"/>
      <c r="G574" s="271"/>
      <c r="H574" s="271"/>
      <c r="I574" s="268"/>
      <c r="J574" s="271"/>
      <c r="K574" s="271"/>
      <c r="L574" s="271"/>
      <c r="M574" s="271"/>
      <c r="N574" s="271"/>
      <c r="O574" s="271"/>
      <c r="P574" s="265">
        <v>94</v>
      </c>
      <c r="Q574" s="264">
        <v>1</v>
      </c>
      <c r="R574" s="264" t="s">
        <v>406</v>
      </c>
      <c r="S574" s="264">
        <v>2006</v>
      </c>
      <c r="T574" s="266" t="s">
        <v>163</v>
      </c>
      <c r="U574" s="267">
        <v>42653</v>
      </c>
      <c r="V574" s="269"/>
      <c r="W574" s="366">
        <f>COUNT(RawMaterials[[#This Row],[Lab Quantity 1]:[Lab Quantity 4]])</f>
        <v>0</v>
      </c>
      <c r="X57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4" s="367" t="e">
        <f>RawMaterials[[#This Row],[Lab Price 1]]/RawMaterials[[#This Row],[Lab Q Model Units 1]]</f>
        <v>#N/A</v>
      </c>
      <c r="AC574" s="367" t="e">
        <f>RawMaterials[[#This Row],[Lab Price 2]]/RawMaterials[[#This Row],[Lab Q Model Units 2]]</f>
        <v>#N/A</v>
      </c>
      <c r="AD574" s="367" t="e">
        <f>RawMaterials[[#This Row],[Lab Price 3]]/RawMaterials[[#This Row],[Lab Q Model Units 3]]</f>
        <v>#N/A</v>
      </c>
      <c r="AE574" s="367" t="e">
        <f>RawMaterials[[#This Row],[Lab Price 4]]/RawMaterials[[#This Row],[Lab Q Model Units 4]]</f>
        <v>#N/A</v>
      </c>
      <c r="AF574" s="367" t="str">
        <f ca="1">IF(RawMaterials[[#This Row],[Lab Quote Count]]&gt;1,SLOPE(LOG(INDIRECT("RawMaterials[@[Lab Unit P 1]:[Lab Unit P "&amp;RawMaterials[[#This Row],[Lab Quote Count]]&amp;"]]")),LOG(INDIRECT("RawMaterials[@[Lab Q Model Units 1]:[Lab Q Model Units "&amp;RawMaterials[[#This Row],[Lab Quote Count]]&amp;"]]"))),"")</f>
        <v/>
      </c>
      <c r="AG574" s="367" t="str">
        <f ca="1">IF(RawMaterials[[#This Row],[Lab Quote Count]]&gt;1,INTERCEPT(LOG(INDIRECT("RawMaterials[@[Lab Unit P 1]:[Lab Unit P "&amp;RawMaterials[[#This Row],[Lab Quote Count]]&amp;"]]")),LOG(INDIRECT("RawMaterials[@[Lab Q Model Units 1]:[Lab Q Model Units "&amp;RawMaterials[[#This Row],[Lab Quote Count]]&amp;"]]"))),"")</f>
        <v/>
      </c>
      <c r="AH574" s="368" t="str">
        <f>IF(RawMaterials[[#This Row],[Material Type]]="Metal Precursor","D13",IF(RawMaterials[[#This Row],[Material Type]]="Ligand","D13","D12"))</f>
        <v>D12</v>
      </c>
      <c r="AI574" s="369" t="str">
        <f ca="1">IF(RawMaterials[[#This Row],[Lab Quote Count]]&gt;1,10^RawMaterials[[#This Row],[Lab Log-Log Intercept]]*INDIRECT(RawMaterials[[#This Row],[Basis Cell]])^RawMaterials[[#This Row],[Lab Log-Log Slope]],"&gt;&gt;&gt; Enter 2 or more lab quotes &lt;&lt;&lt;")</f>
        <v>&gt;&gt;&gt; Enter 2 or more lab quotes &lt;&lt;&lt;</v>
      </c>
      <c r="AJ57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4.7E-2</v>
      </c>
      <c r="AL574" s="372">
        <f>IF(ISTEXT(RawMaterials[[#This Row],[Unit price in quote year]]),"Check calcs",RawMaterials[[#This Row],[Unit price in quote year]]/VLOOKUP(RawMaterials[[#This Row],[Quote Year]],ChemPPI[],14,FALSE)*VLOOKUP(BasisYear,ChemPPI[],14,FALSE))</f>
        <v>6.3789126016260175E-2</v>
      </c>
      <c r="AM574" s="373" t="str">
        <f t="shared" si="8"/>
        <v>$/lb (2016)</v>
      </c>
    </row>
    <row r="575" spans="1:39">
      <c r="A575" s="263" t="s">
        <v>1670</v>
      </c>
      <c r="B575" s="264"/>
      <c r="C575" s="271"/>
      <c r="D575" s="365"/>
      <c r="E575" s="264">
        <v>100</v>
      </c>
      <c r="F575" s="264"/>
      <c r="G575" s="271"/>
      <c r="H575" s="271"/>
      <c r="I575" s="268"/>
      <c r="J575" s="271"/>
      <c r="K575" s="271"/>
      <c r="L575" s="271"/>
      <c r="M575" s="271"/>
      <c r="N575" s="271"/>
      <c r="O575" s="271"/>
      <c r="P575" s="265">
        <v>71</v>
      </c>
      <c r="Q575" s="264">
        <v>1</v>
      </c>
      <c r="R575" s="264" t="s">
        <v>406</v>
      </c>
      <c r="S575" s="264">
        <v>2006</v>
      </c>
      <c r="T575" s="266" t="s">
        <v>163</v>
      </c>
      <c r="U575" s="267">
        <v>42653</v>
      </c>
      <c r="V575" s="269"/>
      <c r="W575" s="366">
        <f>COUNT(RawMaterials[[#This Row],[Lab Quantity 1]:[Lab Quantity 4]])</f>
        <v>0</v>
      </c>
      <c r="X57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5" s="367" t="e">
        <f>RawMaterials[[#This Row],[Lab Price 1]]/RawMaterials[[#This Row],[Lab Q Model Units 1]]</f>
        <v>#N/A</v>
      </c>
      <c r="AC575" s="367" t="e">
        <f>RawMaterials[[#This Row],[Lab Price 2]]/RawMaterials[[#This Row],[Lab Q Model Units 2]]</f>
        <v>#N/A</v>
      </c>
      <c r="AD575" s="367" t="e">
        <f>RawMaterials[[#This Row],[Lab Price 3]]/RawMaterials[[#This Row],[Lab Q Model Units 3]]</f>
        <v>#N/A</v>
      </c>
      <c r="AE575" s="367" t="e">
        <f>RawMaterials[[#This Row],[Lab Price 4]]/RawMaterials[[#This Row],[Lab Q Model Units 4]]</f>
        <v>#N/A</v>
      </c>
      <c r="AF575" s="367" t="str">
        <f ca="1">IF(RawMaterials[[#This Row],[Lab Quote Count]]&gt;1,SLOPE(LOG(INDIRECT("RawMaterials[@[Lab Unit P 1]:[Lab Unit P "&amp;RawMaterials[[#This Row],[Lab Quote Count]]&amp;"]]")),LOG(INDIRECT("RawMaterials[@[Lab Q Model Units 1]:[Lab Q Model Units "&amp;RawMaterials[[#This Row],[Lab Quote Count]]&amp;"]]"))),"")</f>
        <v/>
      </c>
      <c r="AG575" s="367" t="str">
        <f ca="1">IF(RawMaterials[[#This Row],[Lab Quote Count]]&gt;1,INTERCEPT(LOG(INDIRECT("RawMaterials[@[Lab Unit P 1]:[Lab Unit P "&amp;RawMaterials[[#This Row],[Lab Quote Count]]&amp;"]]")),LOG(INDIRECT("RawMaterials[@[Lab Q Model Units 1]:[Lab Q Model Units "&amp;RawMaterials[[#This Row],[Lab Quote Count]]&amp;"]]"))),"")</f>
        <v/>
      </c>
      <c r="AH575" s="368" t="str">
        <f>IF(RawMaterials[[#This Row],[Material Type]]="Metal Precursor","D13",IF(RawMaterials[[#This Row],[Material Type]]="Ligand","D13","D12"))</f>
        <v>D12</v>
      </c>
      <c r="AI575" s="369" t="str">
        <f ca="1">IF(RawMaterials[[#This Row],[Lab Quote Count]]&gt;1,10^RawMaterials[[#This Row],[Lab Log-Log Intercept]]*INDIRECT(RawMaterials[[#This Row],[Basis Cell]])^RawMaterials[[#This Row],[Lab Log-Log Slope]],"&gt;&gt;&gt; Enter 2 or more lab quotes &lt;&lt;&lt;")</f>
        <v>&gt;&gt;&gt; Enter 2 or more lab quotes &lt;&lt;&lt;</v>
      </c>
      <c r="AJ57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3.5499999999999997E-2</v>
      </c>
      <c r="AL575" s="372">
        <f>IF(ISTEXT(RawMaterials[[#This Row],[Unit price in quote year]]),"Check calcs",RawMaterials[[#This Row],[Unit price in quote year]]/VLOOKUP(RawMaterials[[#This Row],[Quote Year]],ChemPPI[],14,FALSE)*VLOOKUP(BasisYear,ChemPPI[],14,FALSE))</f>
        <v>4.8181148373983747E-2</v>
      </c>
      <c r="AM575" s="373" t="str">
        <f t="shared" si="8"/>
        <v>$/lb (2016)</v>
      </c>
    </row>
    <row r="576" spans="1:39">
      <c r="A576" s="263" t="s">
        <v>1671</v>
      </c>
      <c r="B576" s="264"/>
      <c r="C576" s="271"/>
      <c r="D576" s="365"/>
      <c r="E576" s="264">
        <v>100</v>
      </c>
      <c r="F576" s="264"/>
      <c r="G576" s="271"/>
      <c r="H576" s="271"/>
      <c r="I576" s="268"/>
      <c r="J576" s="271"/>
      <c r="K576" s="271"/>
      <c r="L576" s="271"/>
      <c r="M576" s="271"/>
      <c r="N576" s="271"/>
      <c r="O576" s="271"/>
      <c r="P576" s="265">
        <v>73.099999999999994</v>
      </c>
      <c r="Q576" s="264">
        <v>1</v>
      </c>
      <c r="R576" s="264" t="s">
        <v>406</v>
      </c>
      <c r="S576" s="264">
        <v>2006</v>
      </c>
      <c r="T576" s="266" t="s">
        <v>163</v>
      </c>
      <c r="U576" s="267">
        <v>42653</v>
      </c>
      <c r="V576" s="269"/>
      <c r="W576" s="366">
        <f>COUNT(RawMaterials[[#This Row],[Lab Quantity 1]:[Lab Quantity 4]])</f>
        <v>0</v>
      </c>
      <c r="X57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6" s="367" t="e">
        <f>RawMaterials[[#This Row],[Lab Price 1]]/RawMaterials[[#This Row],[Lab Q Model Units 1]]</f>
        <v>#N/A</v>
      </c>
      <c r="AC576" s="367" t="e">
        <f>RawMaterials[[#This Row],[Lab Price 2]]/RawMaterials[[#This Row],[Lab Q Model Units 2]]</f>
        <v>#N/A</v>
      </c>
      <c r="AD576" s="367" t="e">
        <f>RawMaterials[[#This Row],[Lab Price 3]]/RawMaterials[[#This Row],[Lab Q Model Units 3]]</f>
        <v>#N/A</v>
      </c>
      <c r="AE576" s="367" t="e">
        <f>RawMaterials[[#This Row],[Lab Price 4]]/RawMaterials[[#This Row],[Lab Q Model Units 4]]</f>
        <v>#N/A</v>
      </c>
      <c r="AF576" s="367" t="str">
        <f ca="1">IF(RawMaterials[[#This Row],[Lab Quote Count]]&gt;1,SLOPE(LOG(INDIRECT("RawMaterials[@[Lab Unit P 1]:[Lab Unit P "&amp;RawMaterials[[#This Row],[Lab Quote Count]]&amp;"]]")),LOG(INDIRECT("RawMaterials[@[Lab Q Model Units 1]:[Lab Q Model Units "&amp;RawMaterials[[#This Row],[Lab Quote Count]]&amp;"]]"))),"")</f>
        <v/>
      </c>
      <c r="AG576" s="367" t="str">
        <f ca="1">IF(RawMaterials[[#This Row],[Lab Quote Count]]&gt;1,INTERCEPT(LOG(INDIRECT("RawMaterials[@[Lab Unit P 1]:[Lab Unit P "&amp;RawMaterials[[#This Row],[Lab Quote Count]]&amp;"]]")),LOG(INDIRECT("RawMaterials[@[Lab Q Model Units 1]:[Lab Q Model Units "&amp;RawMaterials[[#This Row],[Lab Quote Count]]&amp;"]]"))),"")</f>
        <v/>
      </c>
      <c r="AH576" s="368" t="str">
        <f>IF(RawMaterials[[#This Row],[Material Type]]="Metal Precursor","D13",IF(RawMaterials[[#This Row],[Material Type]]="Ligand","D13","D12"))</f>
        <v>D12</v>
      </c>
      <c r="AI576" s="369" t="str">
        <f ca="1">IF(RawMaterials[[#This Row],[Lab Quote Count]]&gt;1,10^RawMaterials[[#This Row],[Lab Log-Log Intercept]]*INDIRECT(RawMaterials[[#This Row],[Basis Cell]])^RawMaterials[[#This Row],[Lab Log-Log Slope]],"&gt;&gt;&gt; Enter 2 or more lab quotes &lt;&lt;&lt;")</f>
        <v>&gt;&gt;&gt; Enter 2 or more lab quotes &lt;&lt;&lt;</v>
      </c>
      <c r="AJ57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7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3.6549999999999999E-2</v>
      </c>
      <c r="AL576" s="372">
        <f>IF(ISTEXT(RawMaterials[[#This Row],[Unit price in quote year]]),"Check calcs",RawMaterials[[#This Row],[Unit price in quote year]]/VLOOKUP(RawMaterials[[#This Row],[Quote Year]],ChemPPI[],14,FALSE)*VLOOKUP(BasisYear,ChemPPI[],14,FALSE))</f>
        <v>4.9606224593495944E-2</v>
      </c>
      <c r="AM576" s="373" t="str">
        <f t="shared" si="8"/>
        <v>$/lb (2016)</v>
      </c>
    </row>
    <row r="577" spans="1:39">
      <c r="A577" s="263" t="s">
        <v>1672</v>
      </c>
      <c r="B577" s="264"/>
      <c r="C577" s="271"/>
      <c r="D577" s="365"/>
      <c r="E577" s="264">
        <v>100</v>
      </c>
      <c r="F577" s="264"/>
      <c r="G577" s="271"/>
      <c r="H577" s="271"/>
      <c r="I577" s="268"/>
      <c r="J577" s="271"/>
      <c r="K577" s="271"/>
      <c r="L577" s="271"/>
      <c r="M577" s="271"/>
      <c r="N577" s="271"/>
      <c r="O577" s="271"/>
      <c r="P577" s="265">
        <v>85</v>
      </c>
      <c r="Q577" s="264">
        <v>1</v>
      </c>
      <c r="R577" s="264" t="s">
        <v>20</v>
      </c>
      <c r="S577" s="264">
        <v>2006</v>
      </c>
      <c r="T577" s="266" t="s">
        <v>163</v>
      </c>
      <c r="U577" s="267">
        <v>42653</v>
      </c>
      <c r="V577" s="269"/>
      <c r="W577" s="366">
        <f>COUNT(RawMaterials[[#This Row],[Lab Quantity 1]:[Lab Quantity 4]])</f>
        <v>0</v>
      </c>
      <c r="X57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7" s="367" t="e">
        <f>RawMaterials[[#This Row],[Lab Price 1]]/RawMaterials[[#This Row],[Lab Q Model Units 1]]</f>
        <v>#N/A</v>
      </c>
      <c r="AC577" s="367" t="e">
        <f>RawMaterials[[#This Row],[Lab Price 2]]/RawMaterials[[#This Row],[Lab Q Model Units 2]]</f>
        <v>#N/A</v>
      </c>
      <c r="AD577" s="367" t="e">
        <f>RawMaterials[[#This Row],[Lab Price 3]]/RawMaterials[[#This Row],[Lab Q Model Units 3]]</f>
        <v>#N/A</v>
      </c>
      <c r="AE577" s="367" t="e">
        <f>RawMaterials[[#This Row],[Lab Price 4]]/RawMaterials[[#This Row],[Lab Q Model Units 4]]</f>
        <v>#N/A</v>
      </c>
      <c r="AF577" s="367" t="str">
        <f ca="1">IF(RawMaterials[[#This Row],[Lab Quote Count]]&gt;1,SLOPE(LOG(INDIRECT("RawMaterials[@[Lab Unit P 1]:[Lab Unit P "&amp;RawMaterials[[#This Row],[Lab Quote Count]]&amp;"]]")),LOG(INDIRECT("RawMaterials[@[Lab Q Model Units 1]:[Lab Q Model Units "&amp;RawMaterials[[#This Row],[Lab Quote Count]]&amp;"]]"))),"")</f>
        <v/>
      </c>
      <c r="AG577" s="367" t="str">
        <f ca="1">IF(RawMaterials[[#This Row],[Lab Quote Count]]&gt;1,INTERCEPT(LOG(INDIRECT("RawMaterials[@[Lab Unit P 1]:[Lab Unit P "&amp;RawMaterials[[#This Row],[Lab Quote Count]]&amp;"]]")),LOG(INDIRECT("RawMaterials[@[Lab Q Model Units 1]:[Lab Q Model Units "&amp;RawMaterials[[#This Row],[Lab Quote Count]]&amp;"]]"))),"")</f>
        <v/>
      </c>
      <c r="AH577" s="368" t="str">
        <f>IF(RawMaterials[[#This Row],[Material Type]]="Metal Precursor","D13",IF(RawMaterials[[#This Row],[Material Type]]="Ligand","D13","D12"))</f>
        <v>D12</v>
      </c>
      <c r="AI577" s="369" t="str">
        <f ca="1">IF(RawMaterials[[#This Row],[Lab Quote Count]]&gt;1,10^RawMaterials[[#This Row],[Lab Log-Log Intercept]]*INDIRECT(RawMaterials[[#This Row],[Basis Cell]])^RawMaterials[[#This Row],[Lab Log-Log Slope]],"&gt;&gt;&gt; Enter 2 or more lab quotes &lt;&lt;&lt;")</f>
        <v>&gt;&gt;&gt; Enter 2 or more lab quotes &lt;&lt;&lt;</v>
      </c>
      <c r="AJ57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85</v>
      </c>
      <c r="AL577" s="372">
        <f>IF(ISTEXT(RawMaterials[[#This Row],[Unit price in quote year]]),"Check calcs",RawMaterials[[#This Row],[Unit price in quote year]]/VLOOKUP(RawMaterials[[#This Row],[Quote Year]],ChemPPI[],14,FALSE)*VLOOKUP(BasisYear,ChemPPI[],14,FALSE))</f>
        <v>115.36331300813011</v>
      </c>
      <c r="AM577" s="373" t="str">
        <f t="shared" si="8"/>
        <v>$/lb (2016)</v>
      </c>
    </row>
    <row r="578" spans="1:39">
      <c r="A578" s="263" t="s">
        <v>1673</v>
      </c>
      <c r="B578" s="264"/>
      <c r="C578" s="271"/>
      <c r="D578" s="365"/>
      <c r="E578" s="264">
        <v>100</v>
      </c>
      <c r="F578" s="264"/>
      <c r="G578" s="271"/>
      <c r="H578" s="271"/>
      <c r="I578" s="268"/>
      <c r="J578" s="271"/>
      <c r="K578" s="271"/>
      <c r="L578" s="271"/>
      <c r="M578" s="271"/>
      <c r="N578" s="271"/>
      <c r="O578" s="271"/>
      <c r="P578" s="265">
        <v>0.3</v>
      </c>
      <c r="Q578" s="264">
        <v>1</v>
      </c>
      <c r="R578" s="264" t="s">
        <v>20</v>
      </c>
      <c r="S578" s="264">
        <v>2006</v>
      </c>
      <c r="T578" s="266" t="s">
        <v>163</v>
      </c>
      <c r="U578" s="267">
        <v>42653</v>
      </c>
      <c r="V578" s="269"/>
      <c r="W578" s="366">
        <f>COUNT(RawMaterials[[#This Row],[Lab Quantity 1]:[Lab Quantity 4]])</f>
        <v>0</v>
      </c>
      <c r="X57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8" s="367" t="e">
        <f>RawMaterials[[#This Row],[Lab Price 1]]/RawMaterials[[#This Row],[Lab Q Model Units 1]]</f>
        <v>#N/A</v>
      </c>
      <c r="AC578" s="367" t="e">
        <f>RawMaterials[[#This Row],[Lab Price 2]]/RawMaterials[[#This Row],[Lab Q Model Units 2]]</f>
        <v>#N/A</v>
      </c>
      <c r="AD578" s="367" t="e">
        <f>RawMaterials[[#This Row],[Lab Price 3]]/RawMaterials[[#This Row],[Lab Q Model Units 3]]</f>
        <v>#N/A</v>
      </c>
      <c r="AE578" s="367" t="e">
        <f>RawMaterials[[#This Row],[Lab Price 4]]/RawMaterials[[#This Row],[Lab Q Model Units 4]]</f>
        <v>#N/A</v>
      </c>
      <c r="AF578" s="367" t="str">
        <f ca="1">IF(RawMaterials[[#This Row],[Lab Quote Count]]&gt;1,SLOPE(LOG(INDIRECT("RawMaterials[@[Lab Unit P 1]:[Lab Unit P "&amp;RawMaterials[[#This Row],[Lab Quote Count]]&amp;"]]")),LOG(INDIRECT("RawMaterials[@[Lab Q Model Units 1]:[Lab Q Model Units "&amp;RawMaterials[[#This Row],[Lab Quote Count]]&amp;"]]"))),"")</f>
        <v/>
      </c>
      <c r="AG578" s="367" t="str">
        <f ca="1">IF(RawMaterials[[#This Row],[Lab Quote Count]]&gt;1,INTERCEPT(LOG(INDIRECT("RawMaterials[@[Lab Unit P 1]:[Lab Unit P "&amp;RawMaterials[[#This Row],[Lab Quote Count]]&amp;"]]")),LOG(INDIRECT("RawMaterials[@[Lab Q Model Units 1]:[Lab Q Model Units "&amp;RawMaterials[[#This Row],[Lab Quote Count]]&amp;"]]"))),"")</f>
        <v/>
      </c>
      <c r="AH578" s="368" t="str">
        <f>IF(RawMaterials[[#This Row],[Material Type]]="Metal Precursor","D13",IF(RawMaterials[[#This Row],[Material Type]]="Ligand","D13","D12"))</f>
        <v>D12</v>
      </c>
      <c r="AI578" s="369" t="str">
        <f ca="1">IF(RawMaterials[[#This Row],[Lab Quote Count]]&gt;1,10^RawMaterials[[#This Row],[Lab Log-Log Intercept]]*INDIRECT(RawMaterials[[#This Row],[Basis Cell]])^RawMaterials[[#This Row],[Lab Log-Log Slope]],"&gt;&gt;&gt; Enter 2 or more lab quotes &lt;&lt;&lt;")</f>
        <v>&gt;&gt;&gt; Enter 2 or more lab quotes &lt;&lt;&lt;</v>
      </c>
      <c r="AJ57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578" s="372">
        <f>IF(ISTEXT(RawMaterials[[#This Row],[Unit price in quote year]]),"Check calcs",RawMaterials[[#This Row],[Unit price in quote year]]/VLOOKUP(RawMaterials[[#This Row],[Quote Year]],ChemPPI[],14,FALSE)*VLOOKUP(BasisYear,ChemPPI[],14,FALSE))</f>
        <v>0.40716463414634152</v>
      </c>
      <c r="AM578" s="373" t="str">
        <f t="shared" si="8"/>
        <v>$/lb (2016)</v>
      </c>
    </row>
    <row r="579" spans="1:39">
      <c r="A579" s="263" t="s">
        <v>1674</v>
      </c>
      <c r="B579" s="264"/>
      <c r="C579" s="271"/>
      <c r="D579" s="365"/>
      <c r="E579" s="264">
        <v>100</v>
      </c>
      <c r="F579" s="264"/>
      <c r="G579" s="271"/>
      <c r="H579" s="271"/>
      <c r="I579" s="268"/>
      <c r="J579" s="271"/>
      <c r="K579" s="271"/>
      <c r="L579" s="271"/>
      <c r="M579" s="271"/>
      <c r="N579" s="271"/>
      <c r="O579" s="271"/>
      <c r="P579" s="265">
        <v>0.36</v>
      </c>
      <c r="Q579" s="264">
        <v>1</v>
      </c>
      <c r="R579" s="264" t="s">
        <v>20</v>
      </c>
      <c r="S579" s="264">
        <v>2006</v>
      </c>
      <c r="T579" s="266" t="s">
        <v>163</v>
      </c>
      <c r="U579" s="267">
        <v>42653</v>
      </c>
      <c r="V579" s="269"/>
      <c r="W579" s="366">
        <f>COUNT(RawMaterials[[#This Row],[Lab Quantity 1]:[Lab Quantity 4]])</f>
        <v>0</v>
      </c>
      <c r="X57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7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7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7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79" s="367" t="e">
        <f>RawMaterials[[#This Row],[Lab Price 1]]/RawMaterials[[#This Row],[Lab Q Model Units 1]]</f>
        <v>#N/A</v>
      </c>
      <c r="AC579" s="367" t="e">
        <f>RawMaterials[[#This Row],[Lab Price 2]]/RawMaterials[[#This Row],[Lab Q Model Units 2]]</f>
        <v>#N/A</v>
      </c>
      <c r="AD579" s="367" t="e">
        <f>RawMaterials[[#This Row],[Lab Price 3]]/RawMaterials[[#This Row],[Lab Q Model Units 3]]</f>
        <v>#N/A</v>
      </c>
      <c r="AE579" s="367" t="e">
        <f>RawMaterials[[#This Row],[Lab Price 4]]/RawMaterials[[#This Row],[Lab Q Model Units 4]]</f>
        <v>#N/A</v>
      </c>
      <c r="AF579" s="367" t="str">
        <f ca="1">IF(RawMaterials[[#This Row],[Lab Quote Count]]&gt;1,SLOPE(LOG(INDIRECT("RawMaterials[@[Lab Unit P 1]:[Lab Unit P "&amp;RawMaterials[[#This Row],[Lab Quote Count]]&amp;"]]")),LOG(INDIRECT("RawMaterials[@[Lab Q Model Units 1]:[Lab Q Model Units "&amp;RawMaterials[[#This Row],[Lab Quote Count]]&amp;"]]"))),"")</f>
        <v/>
      </c>
      <c r="AG579" s="367" t="str">
        <f ca="1">IF(RawMaterials[[#This Row],[Lab Quote Count]]&gt;1,INTERCEPT(LOG(INDIRECT("RawMaterials[@[Lab Unit P 1]:[Lab Unit P "&amp;RawMaterials[[#This Row],[Lab Quote Count]]&amp;"]]")),LOG(INDIRECT("RawMaterials[@[Lab Q Model Units 1]:[Lab Q Model Units "&amp;RawMaterials[[#This Row],[Lab Quote Count]]&amp;"]]"))),"")</f>
        <v/>
      </c>
      <c r="AH579" s="368" t="str">
        <f>IF(RawMaterials[[#This Row],[Material Type]]="Metal Precursor","D13",IF(RawMaterials[[#This Row],[Material Type]]="Ligand","D13","D12"))</f>
        <v>D12</v>
      </c>
      <c r="AI579" s="369" t="str">
        <f ca="1">IF(RawMaterials[[#This Row],[Lab Quote Count]]&gt;1,10^RawMaterials[[#This Row],[Lab Log-Log Intercept]]*INDIRECT(RawMaterials[[#This Row],[Basis Cell]])^RawMaterials[[#This Row],[Lab Log-Log Slope]],"&gt;&gt;&gt; Enter 2 or more lab quotes &lt;&lt;&lt;")</f>
        <v>&gt;&gt;&gt; Enter 2 or more lab quotes &lt;&lt;&lt;</v>
      </c>
      <c r="AJ57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7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0.36</v>
      </c>
      <c r="AL579" s="372">
        <f>IF(ISTEXT(RawMaterials[[#This Row],[Unit price in quote year]]),"Check calcs",RawMaterials[[#This Row],[Unit price in quote year]]/VLOOKUP(RawMaterials[[#This Row],[Quote Year]],ChemPPI[],14,FALSE)*VLOOKUP(BasisYear,ChemPPI[],14,FALSE))</f>
        <v>0.4885975609756098</v>
      </c>
      <c r="AM579" s="373" t="str">
        <f t="shared" si="8"/>
        <v>$/lb (2016)</v>
      </c>
    </row>
    <row r="580" spans="1:39">
      <c r="A580" s="263" t="s">
        <v>1675</v>
      </c>
      <c r="B580" s="264"/>
      <c r="C580" s="271"/>
      <c r="D580" s="365"/>
      <c r="E580" s="264">
        <v>100</v>
      </c>
      <c r="F580" s="264"/>
      <c r="G580" s="271"/>
      <c r="H580" s="271"/>
      <c r="I580" s="268"/>
      <c r="J580" s="271"/>
      <c r="K580" s="271"/>
      <c r="L580" s="271"/>
      <c r="M580" s="271"/>
      <c r="N580" s="271"/>
      <c r="O580" s="271"/>
      <c r="P580" s="265">
        <v>105</v>
      </c>
      <c r="Q580" s="264">
        <v>1</v>
      </c>
      <c r="R580" s="264" t="s">
        <v>406</v>
      </c>
      <c r="S580" s="264">
        <v>2006</v>
      </c>
      <c r="T580" s="266" t="s">
        <v>163</v>
      </c>
      <c r="U580" s="267">
        <v>42653</v>
      </c>
      <c r="V580" s="269"/>
      <c r="W580" s="366">
        <f>COUNT(RawMaterials[[#This Row],[Lab Quantity 1]:[Lab Quantity 4]])</f>
        <v>0</v>
      </c>
      <c r="X58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0" s="367" t="e">
        <f>RawMaterials[[#This Row],[Lab Price 1]]/RawMaterials[[#This Row],[Lab Q Model Units 1]]</f>
        <v>#N/A</v>
      </c>
      <c r="AC580" s="367" t="e">
        <f>RawMaterials[[#This Row],[Lab Price 2]]/RawMaterials[[#This Row],[Lab Q Model Units 2]]</f>
        <v>#N/A</v>
      </c>
      <c r="AD580" s="367" t="e">
        <f>RawMaterials[[#This Row],[Lab Price 3]]/RawMaterials[[#This Row],[Lab Q Model Units 3]]</f>
        <v>#N/A</v>
      </c>
      <c r="AE580" s="367" t="e">
        <f>RawMaterials[[#This Row],[Lab Price 4]]/RawMaterials[[#This Row],[Lab Q Model Units 4]]</f>
        <v>#N/A</v>
      </c>
      <c r="AF580" s="367" t="str">
        <f ca="1">IF(RawMaterials[[#This Row],[Lab Quote Count]]&gt;1,SLOPE(LOG(INDIRECT("RawMaterials[@[Lab Unit P 1]:[Lab Unit P "&amp;RawMaterials[[#This Row],[Lab Quote Count]]&amp;"]]")),LOG(INDIRECT("RawMaterials[@[Lab Q Model Units 1]:[Lab Q Model Units "&amp;RawMaterials[[#This Row],[Lab Quote Count]]&amp;"]]"))),"")</f>
        <v/>
      </c>
      <c r="AG580" s="367" t="str">
        <f ca="1">IF(RawMaterials[[#This Row],[Lab Quote Count]]&gt;1,INTERCEPT(LOG(INDIRECT("RawMaterials[@[Lab Unit P 1]:[Lab Unit P "&amp;RawMaterials[[#This Row],[Lab Quote Count]]&amp;"]]")),LOG(INDIRECT("RawMaterials[@[Lab Q Model Units 1]:[Lab Q Model Units "&amp;RawMaterials[[#This Row],[Lab Quote Count]]&amp;"]]"))),"")</f>
        <v/>
      </c>
      <c r="AH580" s="368" t="str">
        <f>IF(RawMaterials[[#This Row],[Material Type]]="Metal Precursor","D13",IF(RawMaterials[[#This Row],[Material Type]]="Ligand","D13","D12"))</f>
        <v>D12</v>
      </c>
      <c r="AI580" s="369" t="str">
        <f ca="1">IF(RawMaterials[[#This Row],[Lab Quote Count]]&gt;1,10^RawMaterials[[#This Row],[Lab Log-Log Intercept]]*INDIRECT(RawMaterials[[#This Row],[Basis Cell]])^RawMaterials[[#This Row],[Lab Log-Log Slope]],"&gt;&gt;&gt; Enter 2 or more lab quotes &lt;&lt;&lt;")</f>
        <v>&gt;&gt;&gt; Enter 2 or more lab quotes &lt;&lt;&lt;</v>
      </c>
      <c r="AJ58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58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5.2499999999999998E-2</v>
      </c>
      <c r="AL580" s="372">
        <f>IF(ISTEXT(RawMaterials[[#This Row],[Unit price in quote year]]),"Check calcs",RawMaterials[[#This Row],[Unit price in quote year]]/VLOOKUP(RawMaterials[[#This Row],[Quote Year]],ChemPPI[],14,FALSE)*VLOOKUP(BasisYear,ChemPPI[],14,FALSE))</f>
        <v>7.1253810975609774E-2</v>
      </c>
      <c r="AM580" s="373" t="str">
        <f t="shared" si="8"/>
        <v>$/lb (2016)</v>
      </c>
    </row>
    <row r="581" spans="1:39">
      <c r="A581" s="263" t="s">
        <v>1676</v>
      </c>
      <c r="B581" s="264"/>
      <c r="C581" s="271"/>
      <c r="D581" s="365"/>
      <c r="E581" s="264">
        <v>100</v>
      </c>
      <c r="F581" s="264"/>
      <c r="G581" s="271"/>
      <c r="H581" s="271"/>
      <c r="I581" s="268"/>
      <c r="J581" s="271"/>
      <c r="K581" s="271"/>
      <c r="L581" s="271"/>
      <c r="M581" s="271"/>
      <c r="N581" s="271"/>
      <c r="O581" s="271"/>
      <c r="P581" s="265">
        <v>0.32500000000000001</v>
      </c>
      <c r="Q581" s="264">
        <v>1</v>
      </c>
      <c r="R581" s="264" t="s">
        <v>20</v>
      </c>
      <c r="S581" s="264">
        <v>2006</v>
      </c>
      <c r="T581" s="266" t="s">
        <v>163</v>
      </c>
      <c r="U581" s="267">
        <v>42653</v>
      </c>
      <c r="V581" s="269"/>
      <c r="W581" s="366">
        <f>COUNT(RawMaterials[[#This Row],[Lab Quantity 1]:[Lab Quantity 4]])</f>
        <v>0</v>
      </c>
      <c r="X58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1" s="367" t="e">
        <f>RawMaterials[[#This Row],[Lab Price 1]]/RawMaterials[[#This Row],[Lab Q Model Units 1]]</f>
        <v>#N/A</v>
      </c>
      <c r="AC581" s="367" t="e">
        <f>RawMaterials[[#This Row],[Lab Price 2]]/RawMaterials[[#This Row],[Lab Q Model Units 2]]</f>
        <v>#N/A</v>
      </c>
      <c r="AD581" s="367" t="e">
        <f>RawMaterials[[#This Row],[Lab Price 3]]/RawMaterials[[#This Row],[Lab Q Model Units 3]]</f>
        <v>#N/A</v>
      </c>
      <c r="AE581" s="367" t="e">
        <f>RawMaterials[[#This Row],[Lab Price 4]]/RawMaterials[[#This Row],[Lab Q Model Units 4]]</f>
        <v>#N/A</v>
      </c>
      <c r="AF581" s="367" t="str">
        <f ca="1">IF(RawMaterials[[#This Row],[Lab Quote Count]]&gt;1,SLOPE(LOG(INDIRECT("RawMaterials[@[Lab Unit P 1]:[Lab Unit P "&amp;RawMaterials[[#This Row],[Lab Quote Count]]&amp;"]]")),LOG(INDIRECT("RawMaterials[@[Lab Q Model Units 1]:[Lab Q Model Units "&amp;RawMaterials[[#This Row],[Lab Quote Count]]&amp;"]]"))),"")</f>
        <v/>
      </c>
      <c r="AG581" s="367" t="str">
        <f ca="1">IF(RawMaterials[[#This Row],[Lab Quote Count]]&gt;1,INTERCEPT(LOG(INDIRECT("RawMaterials[@[Lab Unit P 1]:[Lab Unit P "&amp;RawMaterials[[#This Row],[Lab Quote Count]]&amp;"]]")),LOG(INDIRECT("RawMaterials[@[Lab Q Model Units 1]:[Lab Q Model Units "&amp;RawMaterials[[#This Row],[Lab Quote Count]]&amp;"]]"))),"")</f>
        <v/>
      </c>
      <c r="AH581" s="368" t="str">
        <f>IF(RawMaterials[[#This Row],[Material Type]]="Metal Precursor","D13",IF(RawMaterials[[#This Row],[Material Type]]="Ligand","D13","D12"))</f>
        <v>D12</v>
      </c>
      <c r="AI581" s="369" t="str">
        <f ca="1">IF(RawMaterials[[#This Row],[Lab Quote Count]]&gt;1,10^RawMaterials[[#This Row],[Lab Log-Log Intercept]]*INDIRECT(RawMaterials[[#This Row],[Basis Cell]])^RawMaterials[[#This Row],[Lab Log-Log Slope]],"&gt;&gt;&gt; Enter 2 or more lab quotes &lt;&lt;&lt;")</f>
        <v>&gt;&gt;&gt; Enter 2 or more lab quotes &lt;&lt;&lt;</v>
      </c>
      <c r="AJ58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0.32500000000000001</v>
      </c>
      <c r="AL581" s="372">
        <f>IF(ISTEXT(RawMaterials[[#This Row],[Unit price in quote year]]),"Check calcs",RawMaterials[[#This Row],[Unit price in quote year]]/VLOOKUP(RawMaterials[[#This Row],[Quote Year]],ChemPPI[],14,FALSE)*VLOOKUP(BasisYear,ChemPPI[],14,FALSE))</f>
        <v>0.44109502032520331</v>
      </c>
      <c r="AM581" s="373" t="str">
        <f t="shared" si="8"/>
        <v>$/lb (2016)</v>
      </c>
    </row>
    <row r="582" spans="1:39">
      <c r="A582" s="263" t="s">
        <v>1677</v>
      </c>
      <c r="B582" s="264"/>
      <c r="C582" s="271"/>
      <c r="D582" s="365"/>
      <c r="E582" s="264">
        <v>100</v>
      </c>
      <c r="F582" s="264"/>
      <c r="G582" s="271"/>
      <c r="H582" s="271"/>
      <c r="I582" s="268"/>
      <c r="J582" s="271"/>
      <c r="K582" s="271"/>
      <c r="L582" s="271"/>
      <c r="M582" s="271"/>
      <c r="N582" s="271"/>
      <c r="O582" s="271"/>
      <c r="P582" s="265">
        <v>0.26</v>
      </c>
      <c r="Q582" s="264">
        <v>1</v>
      </c>
      <c r="R582" s="264" t="s">
        <v>20</v>
      </c>
      <c r="S582" s="264">
        <v>2006</v>
      </c>
      <c r="T582" s="266" t="s">
        <v>163</v>
      </c>
      <c r="U582" s="267">
        <v>42653</v>
      </c>
      <c r="V582" s="269"/>
      <c r="W582" s="366">
        <f>COUNT(RawMaterials[[#This Row],[Lab Quantity 1]:[Lab Quantity 4]])</f>
        <v>0</v>
      </c>
      <c r="X58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2" s="367" t="e">
        <f>RawMaterials[[#This Row],[Lab Price 1]]/RawMaterials[[#This Row],[Lab Q Model Units 1]]</f>
        <v>#N/A</v>
      </c>
      <c r="AC582" s="367" t="e">
        <f>RawMaterials[[#This Row],[Lab Price 2]]/RawMaterials[[#This Row],[Lab Q Model Units 2]]</f>
        <v>#N/A</v>
      </c>
      <c r="AD582" s="367" t="e">
        <f>RawMaterials[[#This Row],[Lab Price 3]]/RawMaterials[[#This Row],[Lab Q Model Units 3]]</f>
        <v>#N/A</v>
      </c>
      <c r="AE582" s="367" t="e">
        <f>RawMaterials[[#This Row],[Lab Price 4]]/RawMaterials[[#This Row],[Lab Q Model Units 4]]</f>
        <v>#N/A</v>
      </c>
      <c r="AF582" s="367" t="str">
        <f ca="1">IF(RawMaterials[[#This Row],[Lab Quote Count]]&gt;1,SLOPE(LOG(INDIRECT("RawMaterials[@[Lab Unit P 1]:[Lab Unit P "&amp;RawMaterials[[#This Row],[Lab Quote Count]]&amp;"]]")),LOG(INDIRECT("RawMaterials[@[Lab Q Model Units 1]:[Lab Q Model Units "&amp;RawMaterials[[#This Row],[Lab Quote Count]]&amp;"]]"))),"")</f>
        <v/>
      </c>
      <c r="AG582" s="367" t="str">
        <f ca="1">IF(RawMaterials[[#This Row],[Lab Quote Count]]&gt;1,INTERCEPT(LOG(INDIRECT("RawMaterials[@[Lab Unit P 1]:[Lab Unit P "&amp;RawMaterials[[#This Row],[Lab Quote Count]]&amp;"]]")),LOG(INDIRECT("RawMaterials[@[Lab Q Model Units 1]:[Lab Q Model Units "&amp;RawMaterials[[#This Row],[Lab Quote Count]]&amp;"]]"))),"")</f>
        <v/>
      </c>
      <c r="AH582" s="368" t="str">
        <f>IF(RawMaterials[[#This Row],[Material Type]]="Metal Precursor","D13",IF(RawMaterials[[#This Row],[Material Type]]="Ligand","D13","D12"))</f>
        <v>D12</v>
      </c>
      <c r="AI582" s="369" t="str">
        <f ca="1">IF(RawMaterials[[#This Row],[Lab Quote Count]]&gt;1,10^RawMaterials[[#This Row],[Lab Log-Log Intercept]]*INDIRECT(RawMaterials[[#This Row],[Basis Cell]])^RawMaterials[[#This Row],[Lab Log-Log Slope]],"&gt;&gt;&gt; Enter 2 or more lab quotes &lt;&lt;&lt;")</f>
        <v>&gt;&gt;&gt; Enter 2 or more lab quotes &lt;&lt;&lt;</v>
      </c>
      <c r="AJ58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0.26</v>
      </c>
      <c r="AL582" s="372">
        <f>IF(ISTEXT(RawMaterials[[#This Row],[Unit price in quote year]]),"Check calcs",RawMaterials[[#This Row],[Unit price in quote year]]/VLOOKUP(RawMaterials[[#This Row],[Quote Year]],ChemPPI[],14,FALSE)*VLOOKUP(BasisYear,ChemPPI[],14,FALSE))</f>
        <v>0.35287601626016268</v>
      </c>
      <c r="AM582" s="373" t="str">
        <f t="shared" si="8"/>
        <v>$/lb (2016)</v>
      </c>
    </row>
    <row r="583" spans="1:39">
      <c r="A583" s="263" t="s">
        <v>1678</v>
      </c>
      <c r="B583" s="264"/>
      <c r="C583" s="271"/>
      <c r="D583" s="365"/>
      <c r="E583" s="264">
        <v>100</v>
      </c>
      <c r="F583" s="264"/>
      <c r="G583" s="271"/>
      <c r="H583" s="271"/>
      <c r="I583" s="268"/>
      <c r="J583" s="271"/>
      <c r="K583" s="271"/>
      <c r="L583" s="271"/>
      <c r="M583" s="271"/>
      <c r="N583" s="271"/>
      <c r="O583" s="271"/>
      <c r="P583" s="265">
        <v>2.375</v>
      </c>
      <c r="Q583" s="264">
        <v>1</v>
      </c>
      <c r="R583" s="264" t="s">
        <v>20</v>
      </c>
      <c r="S583" s="264">
        <v>2006</v>
      </c>
      <c r="T583" s="266" t="s">
        <v>163</v>
      </c>
      <c r="U583" s="267">
        <v>42653</v>
      </c>
      <c r="V583" s="269"/>
      <c r="W583" s="366">
        <f>COUNT(RawMaterials[[#This Row],[Lab Quantity 1]:[Lab Quantity 4]])</f>
        <v>0</v>
      </c>
      <c r="X58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3" s="367" t="e">
        <f>RawMaterials[[#This Row],[Lab Price 1]]/RawMaterials[[#This Row],[Lab Q Model Units 1]]</f>
        <v>#N/A</v>
      </c>
      <c r="AC583" s="367" t="e">
        <f>RawMaterials[[#This Row],[Lab Price 2]]/RawMaterials[[#This Row],[Lab Q Model Units 2]]</f>
        <v>#N/A</v>
      </c>
      <c r="AD583" s="367" t="e">
        <f>RawMaterials[[#This Row],[Lab Price 3]]/RawMaterials[[#This Row],[Lab Q Model Units 3]]</f>
        <v>#N/A</v>
      </c>
      <c r="AE583" s="367" t="e">
        <f>RawMaterials[[#This Row],[Lab Price 4]]/RawMaterials[[#This Row],[Lab Q Model Units 4]]</f>
        <v>#N/A</v>
      </c>
      <c r="AF583" s="367" t="str">
        <f ca="1">IF(RawMaterials[[#This Row],[Lab Quote Count]]&gt;1,SLOPE(LOG(INDIRECT("RawMaterials[@[Lab Unit P 1]:[Lab Unit P "&amp;RawMaterials[[#This Row],[Lab Quote Count]]&amp;"]]")),LOG(INDIRECT("RawMaterials[@[Lab Q Model Units 1]:[Lab Q Model Units "&amp;RawMaterials[[#This Row],[Lab Quote Count]]&amp;"]]"))),"")</f>
        <v/>
      </c>
      <c r="AG583" s="367" t="str">
        <f ca="1">IF(RawMaterials[[#This Row],[Lab Quote Count]]&gt;1,INTERCEPT(LOG(INDIRECT("RawMaterials[@[Lab Unit P 1]:[Lab Unit P "&amp;RawMaterials[[#This Row],[Lab Quote Count]]&amp;"]]")),LOG(INDIRECT("RawMaterials[@[Lab Q Model Units 1]:[Lab Q Model Units "&amp;RawMaterials[[#This Row],[Lab Quote Count]]&amp;"]]"))),"")</f>
        <v/>
      </c>
      <c r="AH583" s="368" t="str">
        <f>IF(RawMaterials[[#This Row],[Material Type]]="Metal Precursor","D13",IF(RawMaterials[[#This Row],[Material Type]]="Ligand","D13","D12"))</f>
        <v>D12</v>
      </c>
      <c r="AI583" s="369" t="str">
        <f ca="1">IF(RawMaterials[[#This Row],[Lab Quote Count]]&gt;1,10^RawMaterials[[#This Row],[Lab Log-Log Intercept]]*INDIRECT(RawMaterials[[#This Row],[Basis Cell]])^RawMaterials[[#This Row],[Lab Log-Log Slope]],"&gt;&gt;&gt; Enter 2 or more lab quotes &lt;&lt;&lt;")</f>
        <v>&gt;&gt;&gt; Enter 2 or more lab quotes &lt;&lt;&lt;</v>
      </c>
      <c r="AJ58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2.375</v>
      </c>
      <c r="AL583" s="372">
        <f>IF(ISTEXT(RawMaterials[[#This Row],[Unit price in quote year]]),"Check calcs",RawMaterials[[#This Row],[Unit price in quote year]]/VLOOKUP(RawMaterials[[#This Row],[Quote Year]],ChemPPI[],14,FALSE)*VLOOKUP(BasisYear,ChemPPI[],14,FALSE))</f>
        <v>3.2233866869918706</v>
      </c>
      <c r="AM583" s="373" t="str">
        <f t="shared" si="8"/>
        <v>$/lb (2016)</v>
      </c>
    </row>
    <row r="584" spans="1:39">
      <c r="A584" s="263" t="s">
        <v>1679</v>
      </c>
      <c r="B584" s="264"/>
      <c r="C584" s="271"/>
      <c r="D584" s="365"/>
      <c r="E584" s="264">
        <v>100</v>
      </c>
      <c r="F584" s="264"/>
      <c r="G584" s="271"/>
      <c r="H584" s="271"/>
      <c r="I584" s="268"/>
      <c r="J584" s="271"/>
      <c r="K584" s="271"/>
      <c r="L584" s="271"/>
      <c r="M584" s="271"/>
      <c r="N584" s="271"/>
      <c r="O584" s="271"/>
      <c r="P584" s="265">
        <v>0.42</v>
      </c>
      <c r="Q584" s="264">
        <v>1</v>
      </c>
      <c r="R584" s="264" t="s">
        <v>20</v>
      </c>
      <c r="S584" s="264">
        <v>2006</v>
      </c>
      <c r="T584" s="266" t="s">
        <v>163</v>
      </c>
      <c r="U584" s="267">
        <v>42653</v>
      </c>
      <c r="V584" s="269"/>
      <c r="W584" s="366">
        <f>COUNT(RawMaterials[[#This Row],[Lab Quantity 1]:[Lab Quantity 4]])</f>
        <v>0</v>
      </c>
      <c r="X58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4" s="367" t="e">
        <f>RawMaterials[[#This Row],[Lab Price 1]]/RawMaterials[[#This Row],[Lab Q Model Units 1]]</f>
        <v>#N/A</v>
      </c>
      <c r="AC584" s="367" t="e">
        <f>RawMaterials[[#This Row],[Lab Price 2]]/RawMaterials[[#This Row],[Lab Q Model Units 2]]</f>
        <v>#N/A</v>
      </c>
      <c r="AD584" s="367" t="e">
        <f>RawMaterials[[#This Row],[Lab Price 3]]/RawMaterials[[#This Row],[Lab Q Model Units 3]]</f>
        <v>#N/A</v>
      </c>
      <c r="AE584" s="367" t="e">
        <f>RawMaterials[[#This Row],[Lab Price 4]]/RawMaterials[[#This Row],[Lab Q Model Units 4]]</f>
        <v>#N/A</v>
      </c>
      <c r="AF584" s="367" t="str">
        <f ca="1">IF(RawMaterials[[#This Row],[Lab Quote Count]]&gt;1,SLOPE(LOG(INDIRECT("RawMaterials[@[Lab Unit P 1]:[Lab Unit P "&amp;RawMaterials[[#This Row],[Lab Quote Count]]&amp;"]]")),LOG(INDIRECT("RawMaterials[@[Lab Q Model Units 1]:[Lab Q Model Units "&amp;RawMaterials[[#This Row],[Lab Quote Count]]&amp;"]]"))),"")</f>
        <v/>
      </c>
      <c r="AG584" s="367" t="str">
        <f ca="1">IF(RawMaterials[[#This Row],[Lab Quote Count]]&gt;1,INTERCEPT(LOG(INDIRECT("RawMaterials[@[Lab Unit P 1]:[Lab Unit P "&amp;RawMaterials[[#This Row],[Lab Quote Count]]&amp;"]]")),LOG(INDIRECT("RawMaterials[@[Lab Q Model Units 1]:[Lab Q Model Units "&amp;RawMaterials[[#This Row],[Lab Quote Count]]&amp;"]]"))),"")</f>
        <v/>
      </c>
      <c r="AH584" s="368" t="str">
        <f>IF(RawMaterials[[#This Row],[Material Type]]="Metal Precursor","D13",IF(RawMaterials[[#This Row],[Material Type]]="Ligand","D13","D12"))</f>
        <v>D12</v>
      </c>
      <c r="AI584" s="369" t="str">
        <f ca="1">IF(RawMaterials[[#This Row],[Lab Quote Count]]&gt;1,10^RawMaterials[[#This Row],[Lab Log-Log Intercept]]*INDIRECT(RawMaterials[[#This Row],[Basis Cell]])^RawMaterials[[#This Row],[Lab Log-Log Slope]],"&gt;&gt;&gt; Enter 2 or more lab quotes &lt;&lt;&lt;")</f>
        <v>&gt;&gt;&gt; Enter 2 or more lab quotes &lt;&lt;&lt;</v>
      </c>
      <c r="AJ58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0.42</v>
      </c>
      <c r="AL584" s="372">
        <f>IF(ISTEXT(RawMaterials[[#This Row],[Unit price in quote year]]),"Check calcs",RawMaterials[[#This Row],[Unit price in quote year]]/VLOOKUP(RawMaterials[[#This Row],[Quote Year]],ChemPPI[],14,FALSE)*VLOOKUP(BasisYear,ChemPPI[],14,FALSE))</f>
        <v>0.57003048780487819</v>
      </c>
      <c r="AM584" s="373" t="str">
        <f t="shared" si="8"/>
        <v>$/lb (2016)</v>
      </c>
    </row>
    <row r="585" spans="1:39">
      <c r="A585" s="263" t="s">
        <v>1680</v>
      </c>
      <c r="B585" s="264"/>
      <c r="C585" s="271"/>
      <c r="D585" s="365"/>
      <c r="E585" s="264">
        <v>100</v>
      </c>
      <c r="F585" s="264"/>
      <c r="G585" s="271"/>
      <c r="H585" s="271"/>
      <c r="I585" s="268"/>
      <c r="J585" s="271"/>
      <c r="K585" s="271"/>
      <c r="L585" s="271"/>
      <c r="M585" s="271"/>
      <c r="N585" s="271"/>
      <c r="O585" s="271"/>
      <c r="P585" s="265">
        <v>0.68500000000000005</v>
      </c>
      <c r="Q585" s="264">
        <v>1</v>
      </c>
      <c r="R585" s="264" t="s">
        <v>20</v>
      </c>
      <c r="S585" s="264">
        <v>2006</v>
      </c>
      <c r="T585" s="266" t="s">
        <v>163</v>
      </c>
      <c r="U585" s="267">
        <v>42653</v>
      </c>
      <c r="V585" s="269"/>
      <c r="W585" s="366">
        <f>COUNT(RawMaterials[[#This Row],[Lab Quantity 1]:[Lab Quantity 4]])</f>
        <v>0</v>
      </c>
      <c r="X58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5" s="367" t="e">
        <f>RawMaterials[[#This Row],[Lab Price 1]]/RawMaterials[[#This Row],[Lab Q Model Units 1]]</f>
        <v>#N/A</v>
      </c>
      <c r="AC585" s="367" t="e">
        <f>RawMaterials[[#This Row],[Lab Price 2]]/RawMaterials[[#This Row],[Lab Q Model Units 2]]</f>
        <v>#N/A</v>
      </c>
      <c r="AD585" s="367" t="e">
        <f>RawMaterials[[#This Row],[Lab Price 3]]/RawMaterials[[#This Row],[Lab Q Model Units 3]]</f>
        <v>#N/A</v>
      </c>
      <c r="AE585" s="367" t="e">
        <f>RawMaterials[[#This Row],[Lab Price 4]]/RawMaterials[[#This Row],[Lab Q Model Units 4]]</f>
        <v>#N/A</v>
      </c>
      <c r="AF585" s="367" t="str">
        <f ca="1">IF(RawMaterials[[#This Row],[Lab Quote Count]]&gt;1,SLOPE(LOG(INDIRECT("RawMaterials[@[Lab Unit P 1]:[Lab Unit P "&amp;RawMaterials[[#This Row],[Lab Quote Count]]&amp;"]]")),LOG(INDIRECT("RawMaterials[@[Lab Q Model Units 1]:[Lab Q Model Units "&amp;RawMaterials[[#This Row],[Lab Quote Count]]&amp;"]]"))),"")</f>
        <v/>
      </c>
      <c r="AG585" s="367" t="str">
        <f ca="1">IF(RawMaterials[[#This Row],[Lab Quote Count]]&gt;1,INTERCEPT(LOG(INDIRECT("RawMaterials[@[Lab Unit P 1]:[Lab Unit P "&amp;RawMaterials[[#This Row],[Lab Quote Count]]&amp;"]]")),LOG(INDIRECT("RawMaterials[@[Lab Q Model Units 1]:[Lab Q Model Units "&amp;RawMaterials[[#This Row],[Lab Quote Count]]&amp;"]]"))),"")</f>
        <v/>
      </c>
      <c r="AH585" s="368" t="str">
        <f>IF(RawMaterials[[#This Row],[Material Type]]="Metal Precursor","D13",IF(RawMaterials[[#This Row],[Material Type]]="Ligand","D13","D12"))</f>
        <v>D12</v>
      </c>
      <c r="AI585" s="369" t="str">
        <f ca="1">IF(RawMaterials[[#This Row],[Lab Quote Count]]&gt;1,10^RawMaterials[[#This Row],[Lab Log-Log Intercept]]*INDIRECT(RawMaterials[[#This Row],[Basis Cell]])^RawMaterials[[#This Row],[Lab Log-Log Slope]],"&gt;&gt;&gt; Enter 2 or more lab quotes &lt;&lt;&lt;")</f>
        <v>&gt;&gt;&gt; Enter 2 or more lab quotes &lt;&lt;&lt;</v>
      </c>
      <c r="AJ58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0.68500000000000005</v>
      </c>
      <c r="AL585" s="372">
        <f>IF(ISTEXT(RawMaterials[[#This Row],[Unit price in quote year]]),"Check calcs",RawMaterials[[#This Row],[Unit price in quote year]]/VLOOKUP(RawMaterials[[#This Row],[Quote Year]],ChemPPI[],14,FALSE)*VLOOKUP(BasisYear,ChemPPI[],14,FALSE))</f>
        <v>0.92969258130081323</v>
      </c>
      <c r="AM585" s="373" t="str">
        <f t="shared" si="8"/>
        <v>$/lb (2016)</v>
      </c>
    </row>
    <row r="586" spans="1:39">
      <c r="A586" s="263" t="s">
        <v>1681</v>
      </c>
      <c r="B586" s="264"/>
      <c r="C586" s="271"/>
      <c r="D586" s="365"/>
      <c r="E586" s="264">
        <v>100</v>
      </c>
      <c r="F586" s="264"/>
      <c r="G586" s="271"/>
      <c r="H586" s="271"/>
      <c r="I586" s="268"/>
      <c r="J586" s="271"/>
      <c r="K586" s="271"/>
      <c r="L586" s="271"/>
      <c r="M586" s="271"/>
      <c r="N586" s="271"/>
      <c r="O586" s="271"/>
      <c r="P586" s="265">
        <v>1.7</v>
      </c>
      <c r="Q586" s="264">
        <v>1</v>
      </c>
      <c r="R586" s="264" t="s">
        <v>20</v>
      </c>
      <c r="S586" s="264">
        <v>2006</v>
      </c>
      <c r="T586" s="266" t="s">
        <v>163</v>
      </c>
      <c r="U586" s="267">
        <v>42653</v>
      </c>
      <c r="V586" s="269"/>
      <c r="W586" s="366">
        <f>COUNT(RawMaterials[[#This Row],[Lab Quantity 1]:[Lab Quantity 4]])</f>
        <v>0</v>
      </c>
      <c r="X58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6" s="367" t="e">
        <f>RawMaterials[[#This Row],[Lab Price 1]]/RawMaterials[[#This Row],[Lab Q Model Units 1]]</f>
        <v>#N/A</v>
      </c>
      <c r="AC586" s="367" t="e">
        <f>RawMaterials[[#This Row],[Lab Price 2]]/RawMaterials[[#This Row],[Lab Q Model Units 2]]</f>
        <v>#N/A</v>
      </c>
      <c r="AD586" s="367" t="e">
        <f>RawMaterials[[#This Row],[Lab Price 3]]/RawMaterials[[#This Row],[Lab Q Model Units 3]]</f>
        <v>#N/A</v>
      </c>
      <c r="AE586" s="367" t="e">
        <f>RawMaterials[[#This Row],[Lab Price 4]]/RawMaterials[[#This Row],[Lab Q Model Units 4]]</f>
        <v>#N/A</v>
      </c>
      <c r="AF586" s="367" t="str">
        <f ca="1">IF(RawMaterials[[#This Row],[Lab Quote Count]]&gt;1,SLOPE(LOG(INDIRECT("RawMaterials[@[Lab Unit P 1]:[Lab Unit P "&amp;RawMaterials[[#This Row],[Lab Quote Count]]&amp;"]]")),LOG(INDIRECT("RawMaterials[@[Lab Q Model Units 1]:[Lab Q Model Units "&amp;RawMaterials[[#This Row],[Lab Quote Count]]&amp;"]]"))),"")</f>
        <v/>
      </c>
      <c r="AG586" s="367" t="str">
        <f ca="1">IF(RawMaterials[[#This Row],[Lab Quote Count]]&gt;1,INTERCEPT(LOG(INDIRECT("RawMaterials[@[Lab Unit P 1]:[Lab Unit P "&amp;RawMaterials[[#This Row],[Lab Quote Count]]&amp;"]]")),LOG(INDIRECT("RawMaterials[@[Lab Q Model Units 1]:[Lab Q Model Units "&amp;RawMaterials[[#This Row],[Lab Quote Count]]&amp;"]]"))),"")</f>
        <v/>
      </c>
      <c r="AH586" s="368" t="str">
        <f>IF(RawMaterials[[#This Row],[Material Type]]="Metal Precursor","D13",IF(RawMaterials[[#This Row],[Material Type]]="Ligand","D13","D12"))</f>
        <v>D12</v>
      </c>
      <c r="AI586" s="369" t="str">
        <f ca="1">IF(RawMaterials[[#This Row],[Lab Quote Count]]&gt;1,10^RawMaterials[[#This Row],[Lab Log-Log Intercept]]*INDIRECT(RawMaterials[[#This Row],[Basis Cell]])^RawMaterials[[#This Row],[Lab Log-Log Slope]],"&gt;&gt;&gt; Enter 2 or more lab quotes &lt;&lt;&lt;")</f>
        <v>&gt;&gt;&gt; Enter 2 or more lab quotes &lt;&lt;&lt;</v>
      </c>
      <c r="AJ58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586" s="372">
        <f>IF(ISTEXT(RawMaterials[[#This Row],[Unit price in quote year]]),"Check calcs",RawMaterials[[#This Row],[Unit price in quote year]]/VLOOKUP(RawMaterials[[#This Row],[Quote Year]],ChemPPI[],14,FALSE)*VLOOKUP(BasisYear,ChemPPI[],14,FALSE))</f>
        <v>2.3072662601626019</v>
      </c>
      <c r="AM586" s="373" t="str">
        <f t="shared" si="8"/>
        <v>$/lb (2016)</v>
      </c>
    </row>
    <row r="587" spans="1:39">
      <c r="A587" s="263" t="s">
        <v>1682</v>
      </c>
      <c r="B587" s="264"/>
      <c r="C587" s="271"/>
      <c r="D587" s="365"/>
      <c r="E587" s="264">
        <v>100</v>
      </c>
      <c r="F587" s="264"/>
      <c r="G587" s="271"/>
      <c r="H587" s="271"/>
      <c r="I587" s="268"/>
      <c r="J587" s="271"/>
      <c r="K587" s="271"/>
      <c r="L587" s="271"/>
      <c r="M587" s="271"/>
      <c r="N587" s="271"/>
      <c r="O587" s="271"/>
      <c r="P587" s="265">
        <v>1.55</v>
      </c>
      <c r="Q587" s="264">
        <v>1</v>
      </c>
      <c r="R587" s="264" t="s">
        <v>20</v>
      </c>
      <c r="S587" s="264">
        <v>2006</v>
      </c>
      <c r="T587" s="266" t="s">
        <v>163</v>
      </c>
      <c r="U587" s="267">
        <v>42653</v>
      </c>
      <c r="V587" s="269"/>
      <c r="W587" s="366">
        <f>COUNT(RawMaterials[[#This Row],[Lab Quantity 1]:[Lab Quantity 4]])</f>
        <v>0</v>
      </c>
      <c r="X58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7" s="367" t="e">
        <f>RawMaterials[[#This Row],[Lab Price 1]]/RawMaterials[[#This Row],[Lab Q Model Units 1]]</f>
        <v>#N/A</v>
      </c>
      <c r="AC587" s="367" t="e">
        <f>RawMaterials[[#This Row],[Lab Price 2]]/RawMaterials[[#This Row],[Lab Q Model Units 2]]</f>
        <v>#N/A</v>
      </c>
      <c r="AD587" s="367" t="e">
        <f>RawMaterials[[#This Row],[Lab Price 3]]/RawMaterials[[#This Row],[Lab Q Model Units 3]]</f>
        <v>#N/A</v>
      </c>
      <c r="AE587" s="367" t="e">
        <f>RawMaterials[[#This Row],[Lab Price 4]]/RawMaterials[[#This Row],[Lab Q Model Units 4]]</f>
        <v>#N/A</v>
      </c>
      <c r="AF587" s="367" t="str">
        <f ca="1">IF(RawMaterials[[#This Row],[Lab Quote Count]]&gt;1,SLOPE(LOG(INDIRECT("RawMaterials[@[Lab Unit P 1]:[Lab Unit P "&amp;RawMaterials[[#This Row],[Lab Quote Count]]&amp;"]]")),LOG(INDIRECT("RawMaterials[@[Lab Q Model Units 1]:[Lab Q Model Units "&amp;RawMaterials[[#This Row],[Lab Quote Count]]&amp;"]]"))),"")</f>
        <v/>
      </c>
      <c r="AG587" s="367" t="str">
        <f ca="1">IF(RawMaterials[[#This Row],[Lab Quote Count]]&gt;1,INTERCEPT(LOG(INDIRECT("RawMaterials[@[Lab Unit P 1]:[Lab Unit P "&amp;RawMaterials[[#This Row],[Lab Quote Count]]&amp;"]]")),LOG(INDIRECT("RawMaterials[@[Lab Q Model Units 1]:[Lab Q Model Units "&amp;RawMaterials[[#This Row],[Lab Quote Count]]&amp;"]]"))),"")</f>
        <v/>
      </c>
      <c r="AH587" s="368" t="str">
        <f>IF(RawMaterials[[#This Row],[Material Type]]="Metal Precursor","D13",IF(RawMaterials[[#This Row],[Material Type]]="Ligand","D13","D12"))</f>
        <v>D12</v>
      </c>
      <c r="AI587" s="369" t="str">
        <f ca="1">IF(RawMaterials[[#This Row],[Lab Quote Count]]&gt;1,10^RawMaterials[[#This Row],[Lab Log-Log Intercept]]*INDIRECT(RawMaterials[[#This Row],[Basis Cell]])^RawMaterials[[#This Row],[Lab Log-Log Slope]],"&gt;&gt;&gt; Enter 2 or more lab quotes &lt;&lt;&lt;")</f>
        <v>&gt;&gt;&gt; Enter 2 or more lab quotes &lt;&lt;&lt;</v>
      </c>
      <c r="AJ58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7" s="372">
        <f>IF(ISTEXT(RawMaterials[[#This Row],[Unit price in quote year]]),"Check calcs",RawMaterials[[#This Row],[Unit price in quote year]]/VLOOKUP(RawMaterials[[#This Row],[Quote Year]],ChemPPI[],14,FALSE)*VLOOKUP(BasisYear,ChemPPI[],14,FALSE))</f>
        <v>2.1036839430894312</v>
      </c>
      <c r="AM587" s="373" t="str">
        <f t="shared" si="8"/>
        <v>$/lb (2016)</v>
      </c>
    </row>
    <row r="588" spans="1:39">
      <c r="A588" s="263" t="s">
        <v>1683</v>
      </c>
      <c r="B588" s="264"/>
      <c r="C588" s="271"/>
      <c r="D588" s="365"/>
      <c r="E588" s="264">
        <v>100</v>
      </c>
      <c r="F588" s="264"/>
      <c r="G588" s="271"/>
      <c r="H588" s="271"/>
      <c r="I588" s="268"/>
      <c r="J588" s="271"/>
      <c r="K588" s="271"/>
      <c r="L588" s="271"/>
      <c r="M588" s="271"/>
      <c r="N588" s="271"/>
      <c r="O588" s="271"/>
      <c r="P588" s="265">
        <v>1.55</v>
      </c>
      <c r="Q588" s="264">
        <v>1</v>
      </c>
      <c r="R588" s="264" t="s">
        <v>20</v>
      </c>
      <c r="S588" s="264">
        <v>2006</v>
      </c>
      <c r="T588" s="266" t="s">
        <v>163</v>
      </c>
      <c r="U588" s="267">
        <v>42653</v>
      </c>
      <c r="V588" s="269"/>
      <c r="W588" s="366">
        <f>COUNT(RawMaterials[[#This Row],[Lab Quantity 1]:[Lab Quantity 4]])</f>
        <v>0</v>
      </c>
      <c r="X58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8" s="367" t="e">
        <f>RawMaterials[[#This Row],[Lab Price 1]]/RawMaterials[[#This Row],[Lab Q Model Units 1]]</f>
        <v>#N/A</v>
      </c>
      <c r="AC588" s="367" t="e">
        <f>RawMaterials[[#This Row],[Lab Price 2]]/RawMaterials[[#This Row],[Lab Q Model Units 2]]</f>
        <v>#N/A</v>
      </c>
      <c r="AD588" s="367" t="e">
        <f>RawMaterials[[#This Row],[Lab Price 3]]/RawMaterials[[#This Row],[Lab Q Model Units 3]]</f>
        <v>#N/A</v>
      </c>
      <c r="AE588" s="367" t="e">
        <f>RawMaterials[[#This Row],[Lab Price 4]]/RawMaterials[[#This Row],[Lab Q Model Units 4]]</f>
        <v>#N/A</v>
      </c>
      <c r="AF588" s="367" t="str">
        <f ca="1">IF(RawMaterials[[#This Row],[Lab Quote Count]]&gt;1,SLOPE(LOG(INDIRECT("RawMaterials[@[Lab Unit P 1]:[Lab Unit P "&amp;RawMaterials[[#This Row],[Lab Quote Count]]&amp;"]]")),LOG(INDIRECT("RawMaterials[@[Lab Q Model Units 1]:[Lab Q Model Units "&amp;RawMaterials[[#This Row],[Lab Quote Count]]&amp;"]]"))),"")</f>
        <v/>
      </c>
      <c r="AG588" s="367" t="str">
        <f ca="1">IF(RawMaterials[[#This Row],[Lab Quote Count]]&gt;1,INTERCEPT(LOG(INDIRECT("RawMaterials[@[Lab Unit P 1]:[Lab Unit P "&amp;RawMaterials[[#This Row],[Lab Quote Count]]&amp;"]]")),LOG(INDIRECT("RawMaterials[@[Lab Q Model Units 1]:[Lab Q Model Units "&amp;RawMaterials[[#This Row],[Lab Quote Count]]&amp;"]]"))),"")</f>
        <v/>
      </c>
      <c r="AH588" s="368" t="str">
        <f>IF(RawMaterials[[#This Row],[Material Type]]="Metal Precursor","D13",IF(RawMaterials[[#This Row],[Material Type]]="Ligand","D13","D12"))</f>
        <v>D12</v>
      </c>
      <c r="AI588" s="369" t="str">
        <f ca="1">IF(RawMaterials[[#This Row],[Lab Quote Count]]&gt;1,10^RawMaterials[[#This Row],[Lab Log-Log Intercept]]*INDIRECT(RawMaterials[[#This Row],[Basis Cell]])^RawMaterials[[#This Row],[Lab Log-Log Slope]],"&gt;&gt;&gt; Enter 2 or more lab quotes &lt;&lt;&lt;")</f>
        <v>&gt;&gt;&gt; Enter 2 or more lab quotes &lt;&lt;&lt;</v>
      </c>
      <c r="AJ58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1.55</v>
      </c>
      <c r="AL588" s="372">
        <f>IF(ISTEXT(RawMaterials[[#This Row],[Unit price in quote year]]),"Check calcs",RawMaterials[[#This Row],[Unit price in quote year]]/VLOOKUP(RawMaterials[[#This Row],[Quote Year]],ChemPPI[],14,FALSE)*VLOOKUP(BasisYear,ChemPPI[],14,FALSE))</f>
        <v>2.1036839430894312</v>
      </c>
      <c r="AM588" s="373" t="str">
        <f t="shared" si="8"/>
        <v>$/lb (2016)</v>
      </c>
    </row>
    <row r="589" spans="1:39">
      <c r="A589" s="263" t="s">
        <v>1684</v>
      </c>
      <c r="B589" s="264"/>
      <c r="C589" s="271"/>
      <c r="D589" s="365"/>
      <c r="E589" s="264">
        <v>100</v>
      </c>
      <c r="F589" s="264"/>
      <c r="G589" s="271"/>
      <c r="H589" s="271"/>
      <c r="I589" s="268"/>
      <c r="J589" s="271"/>
      <c r="K589" s="271"/>
      <c r="L589" s="271"/>
      <c r="M589" s="271"/>
      <c r="N589" s="271"/>
      <c r="O589" s="271"/>
      <c r="P589" s="265">
        <v>0.97499999999999998</v>
      </c>
      <c r="Q589" s="264">
        <v>1</v>
      </c>
      <c r="R589" s="264" t="s">
        <v>20</v>
      </c>
      <c r="S589" s="264">
        <v>2006</v>
      </c>
      <c r="T589" s="266" t="s">
        <v>163</v>
      </c>
      <c r="U589" s="267">
        <v>42653</v>
      </c>
      <c r="V589" s="269"/>
      <c r="W589" s="366">
        <f>COUNT(RawMaterials[[#This Row],[Lab Quantity 1]:[Lab Quantity 4]])</f>
        <v>0</v>
      </c>
      <c r="X58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8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8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8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89" s="367" t="e">
        <f>RawMaterials[[#This Row],[Lab Price 1]]/RawMaterials[[#This Row],[Lab Q Model Units 1]]</f>
        <v>#N/A</v>
      </c>
      <c r="AC589" s="367" t="e">
        <f>RawMaterials[[#This Row],[Lab Price 2]]/RawMaterials[[#This Row],[Lab Q Model Units 2]]</f>
        <v>#N/A</v>
      </c>
      <c r="AD589" s="367" t="e">
        <f>RawMaterials[[#This Row],[Lab Price 3]]/RawMaterials[[#This Row],[Lab Q Model Units 3]]</f>
        <v>#N/A</v>
      </c>
      <c r="AE589" s="367" t="e">
        <f>RawMaterials[[#This Row],[Lab Price 4]]/RawMaterials[[#This Row],[Lab Q Model Units 4]]</f>
        <v>#N/A</v>
      </c>
      <c r="AF589" s="367" t="str">
        <f ca="1">IF(RawMaterials[[#This Row],[Lab Quote Count]]&gt;1,SLOPE(LOG(INDIRECT("RawMaterials[@[Lab Unit P 1]:[Lab Unit P "&amp;RawMaterials[[#This Row],[Lab Quote Count]]&amp;"]]")),LOG(INDIRECT("RawMaterials[@[Lab Q Model Units 1]:[Lab Q Model Units "&amp;RawMaterials[[#This Row],[Lab Quote Count]]&amp;"]]"))),"")</f>
        <v/>
      </c>
      <c r="AG589" s="367" t="str">
        <f ca="1">IF(RawMaterials[[#This Row],[Lab Quote Count]]&gt;1,INTERCEPT(LOG(INDIRECT("RawMaterials[@[Lab Unit P 1]:[Lab Unit P "&amp;RawMaterials[[#This Row],[Lab Quote Count]]&amp;"]]")),LOG(INDIRECT("RawMaterials[@[Lab Q Model Units 1]:[Lab Q Model Units "&amp;RawMaterials[[#This Row],[Lab Quote Count]]&amp;"]]"))),"")</f>
        <v/>
      </c>
      <c r="AH589" s="368" t="str">
        <f>IF(RawMaterials[[#This Row],[Material Type]]="Metal Precursor","D13",IF(RawMaterials[[#This Row],[Material Type]]="Ligand","D13","D12"))</f>
        <v>D12</v>
      </c>
      <c r="AI589" s="369" t="str">
        <f ca="1">IF(RawMaterials[[#This Row],[Lab Quote Count]]&gt;1,10^RawMaterials[[#This Row],[Lab Log-Log Intercept]]*INDIRECT(RawMaterials[[#This Row],[Basis Cell]])^RawMaterials[[#This Row],[Lab Log-Log Slope]],"&gt;&gt;&gt; Enter 2 or more lab quotes &lt;&lt;&lt;")</f>
        <v>&gt;&gt;&gt; Enter 2 or more lab quotes &lt;&lt;&lt;</v>
      </c>
      <c r="AJ58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8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89" s="372">
        <f>IF(ISTEXT(RawMaterials[[#This Row],[Unit price in quote year]]),"Check calcs",RawMaterials[[#This Row],[Unit price in quote year]]/VLOOKUP(RawMaterials[[#This Row],[Quote Year]],ChemPPI[],14,FALSE)*VLOOKUP(BasisYear,ChemPPI[],14,FALSE))</f>
        <v>1.3232850609756099</v>
      </c>
      <c r="AM589" s="373" t="str">
        <f t="shared" si="8"/>
        <v>$/lb (2016)</v>
      </c>
    </row>
    <row r="590" spans="1:39">
      <c r="A590" s="263" t="s">
        <v>1685</v>
      </c>
      <c r="B590" s="264"/>
      <c r="C590" s="271"/>
      <c r="D590" s="365"/>
      <c r="E590" s="264">
        <v>100</v>
      </c>
      <c r="F590" s="264"/>
      <c r="G590" s="271"/>
      <c r="H590" s="271"/>
      <c r="I590" s="268"/>
      <c r="J590" s="271"/>
      <c r="K590" s="271"/>
      <c r="L590" s="271"/>
      <c r="M590" s="271"/>
      <c r="N590" s="271"/>
      <c r="O590" s="271"/>
      <c r="P590" s="265">
        <v>0.97499999999999998</v>
      </c>
      <c r="Q590" s="264">
        <v>1</v>
      </c>
      <c r="R590" s="264" t="s">
        <v>20</v>
      </c>
      <c r="S590" s="264">
        <v>2006</v>
      </c>
      <c r="T590" s="266" t="s">
        <v>163</v>
      </c>
      <c r="U590" s="267">
        <v>42653</v>
      </c>
      <c r="V590" s="269"/>
      <c r="W590" s="366">
        <f>COUNT(RawMaterials[[#This Row],[Lab Quantity 1]:[Lab Quantity 4]])</f>
        <v>0</v>
      </c>
      <c r="X59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0" s="367" t="e">
        <f>RawMaterials[[#This Row],[Lab Price 1]]/RawMaterials[[#This Row],[Lab Q Model Units 1]]</f>
        <v>#N/A</v>
      </c>
      <c r="AC590" s="367" t="e">
        <f>RawMaterials[[#This Row],[Lab Price 2]]/RawMaterials[[#This Row],[Lab Q Model Units 2]]</f>
        <v>#N/A</v>
      </c>
      <c r="AD590" s="367" t="e">
        <f>RawMaterials[[#This Row],[Lab Price 3]]/RawMaterials[[#This Row],[Lab Q Model Units 3]]</f>
        <v>#N/A</v>
      </c>
      <c r="AE590" s="367" t="e">
        <f>RawMaterials[[#This Row],[Lab Price 4]]/RawMaterials[[#This Row],[Lab Q Model Units 4]]</f>
        <v>#N/A</v>
      </c>
      <c r="AF590" s="367" t="str">
        <f ca="1">IF(RawMaterials[[#This Row],[Lab Quote Count]]&gt;1,SLOPE(LOG(INDIRECT("RawMaterials[@[Lab Unit P 1]:[Lab Unit P "&amp;RawMaterials[[#This Row],[Lab Quote Count]]&amp;"]]")),LOG(INDIRECT("RawMaterials[@[Lab Q Model Units 1]:[Lab Q Model Units "&amp;RawMaterials[[#This Row],[Lab Quote Count]]&amp;"]]"))),"")</f>
        <v/>
      </c>
      <c r="AG590" s="367" t="str">
        <f ca="1">IF(RawMaterials[[#This Row],[Lab Quote Count]]&gt;1,INTERCEPT(LOG(INDIRECT("RawMaterials[@[Lab Unit P 1]:[Lab Unit P "&amp;RawMaterials[[#This Row],[Lab Quote Count]]&amp;"]]")),LOG(INDIRECT("RawMaterials[@[Lab Q Model Units 1]:[Lab Q Model Units "&amp;RawMaterials[[#This Row],[Lab Quote Count]]&amp;"]]"))),"")</f>
        <v/>
      </c>
      <c r="AH590" s="368" t="str">
        <f>IF(RawMaterials[[#This Row],[Material Type]]="Metal Precursor","D13",IF(RawMaterials[[#This Row],[Material Type]]="Ligand","D13","D12"))</f>
        <v>D12</v>
      </c>
      <c r="AI590" s="369" t="str">
        <f ca="1">IF(RawMaterials[[#This Row],[Lab Quote Count]]&gt;1,10^RawMaterials[[#This Row],[Lab Log-Log Intercept]]*INDIRECT(RawMaterials[[#This Row],[Basis Cell]])^RawMaterials[[#This Row],[Lab Log-Log Slope]],"&gt;&gt;&gt; Enter 2 or more lab quotes &lt;&lt;&lt;")</f>
        <v>&gt;&gt;&gt; Enter 2 or more lab quotes &lt;&lt;&lt;</v>
      </c>
      <c r="AJ59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0" s="372">
        <f>IF(ISTEXT(RawMaterials[[#This Row],[Unit price in quote year]]),"Check calcs",RawMaterials[[#This Row],[Unit price in quote year]]/VLOOKUP(RawMaterials[[#This Row],[Quote Year]],ChemPPI[],14,FALSE)*VLOOKUP(BasisYear,ChemPPI[],14,FALSE))</f>
        <v>1.3232850609756099</v>
      </c>
      <c r="AM590" s="373" t="str">
        <f t="shared" si="8"/>
        <v>$/lb (2016)</v>
      </c>
    </row>
    <row r="591" spans="1:39">
      <c r="A591" s="263" t="s">
        <v>1686</v>
      </c>
      <c r="B591" s="264"/>
      <c r="C591" s="271"/>
      <c r="D591" s="365"/>
      <c r="E591" s="264">
        <v>100</v>
      </c>
      <c r="F591" s="264"/>
      <c r="G591" s="271"/>
      <c r="H591" s="271"/>
      <c r="I591" s="268"/>
      <c r="J591" s="271"/>
      <c r="K591" s="271"/>
      <c r="L591" s="271"/>
      <c r="M591" s="271"/>
      <c r="N591" s="271"/>
      <c r="O591" s="271"/>
      <c r="P591" s="265">
        <v>0.97499999999999998</v>
      </c>
      <c r="Q591" s="264">
        <v>1</v>
      </c>
      <c r="R591" s="264" t="s">
        <v>20</v>
      </c>
      <c r="S591" s="264">
        <v>2006</v>
      </c>
      <c r="T591" s="266" t="s">
        <v>163</v>
      </c>
      <c r="U591" s="267">
        <v>42653</v>
      </c>
      <c r="V591" s="269"/>
      <c r="W591" s="366">
        <f>COUNT(RawMaterials[[#This Row],[Lab Quantity 1]:[Lab Quantity 4]])</f>
        <v>0</v>
      </c>
      <c r="X59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1" s="367" t="e">
        <f>RawMaterials[[#This Row],[Lab Price 1]]/RawMaterials[[#This Row],[Lab Q Model Units 1]]</f>
        <v>#N/A</v>
      </c>
      <c r="AC591" s="367" t="e">
        <f>RawMaterials[[#This Row],[Lab Price 2]]/RawMaterials[[#This Row],[Lab Q Model Units 2]]</f>
        <v>#N/A</v>
      </c>
      <c r="AD591" s="367" t="e">
        <f>RawMaterials[[#This Row],[Lab Price 3]]/RawMaterials[[#This Row],[Lab Q Model Units 3]]</f>
        <v>#N/A</v>
      </c>
      <c r="AE591" s="367" t="e">
        <f>RawMaterials[[#This Row],[Lab Price 4]]/RawMaterials[[#This Row],[Lab Q Model Units 4]]</f>
        <v>#N/A</v>
      </c>
      <c r="AF591" s="367" t="str">
        <f ca="1">IF(RawMaterials[[#This Row],[Lab Quote Count]]&gt;1,SLOPE(LOG(INDIRECT("RawMaterials[@[Lab Unit P 1]:[Lab Unit P "&amp;RawMaterials[[#This Row],[Lab Quote Count]]&amp;"]]")),LOG(INDIRECT("RawMaterials[@[Lab Q Model Units 1]:[Lab Q Model Units "&amp;RawMaterials[[#This Row],[Lab Quote Count]]&amp;"]]"))),"")</f>
        <v/>
      </c>
      <c r="AG591" s="367" t="str">
        <f ca="1">IF(RawMaterials[[#This Row],[Lab Quote Count]]&gt;1,INTERCEPT(LOG(INDIRECT("RawMaterials[@[Lab Unit P 1]:[Lab Unit P "&amp;RawMaterials[[#This Row],[Lab Quote Count]]&amp;"]]")),LOG(INDIRECT("RawMaterials[@[Lab Q Model Units 1]:[Lab Q Model Units "&amp;RawMaterials[[#This Row],[Lab Quote Count]]&amp;"]]"))),"")</f>
        <v/>
      </c>
      <c r="AH591" s="368" t="str">
        <f>IF(RawMaterials[[#This Row],[Material Type]]="Metal Precursor","D13",IF(RawMaterials[[#This Row],[Material Type]]="Ligand","D13","D12"))</f>
        <v>D12</v>
      </c>
      <c r="AI591" s="369" t="str">
        <f ca="1">IF(RawMaterials[[#This Row],[Lab Quote Count]]&gt;1,10^RawMaterials[[#This Row],[Lab Log-Log Intercept]]*INDIRECT(RawMaterials[[#This Row],[Basis Cell]])^RawMaterials[[#This Row],[Lab Log-Log Slope]],"&gt;&gt;&gt; Enter 2 or more lab quotes &lt;&lt;&lt;")</f>
        <v>&gt;&gt;&gt; Enter 2 or more lab quotes &lt;&lt;&lt;</v>
      </c>
      <c r="AJ59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0.97499999999999998</v>
      </c>
      <c r="AL591" s="372">
        <f>IF(ISTEXT(RawMaterials[[#This Row],[Unit price in quote year]]),"Check calcs",RawMaterials[[#This Row],[Unit price in quote year]]/VLOOKUP(RawMaterials[[#This Row],[Quote Year]],ChemPPI[],14,FALSE)*VLOOKUP(BasisYear,ChemPPI[],14,FALSE))</f>
        <v>1.3232850609756099</v>
      </c>
      <c r="AM591" s="373" t="str">
        <f t="shared" si="8"/>
        <v>$/lb (2016)</v>
      </c>
    </row>
    <row r="592" spans="1:39">
      <c r="A592" s="263" t="s">
        <v>1687</v>
      </c>
      <c r="B592" s="264"/>
      <c r="C592" s="271"/>
      <c r="D592" s="365"/>
      <c r="E592" s="264">
        <v>100</v>
      </c>
      <c r="F592" s="264"/>
      <c r="G592" s="271"/>
      <c r="H592" s="271"/>
      <c r="I592" s="268"/>
      <c r="J592" s="271"/>
      <c r="K592" s="271"/>
      <c r="L592" s="271"/>
      <c r="M592" s="271"/>
      <c r="N592" s="271"/>
      <c r="O592" s="271"/>
      <c r="P592" s="265">
        <v>1.05</v>
      </c>
      <c r="Q592" s="264">
        <v>1</v>
      </c>
      <c r="R592" s="264" t="s">
        <v>20</v>
      </c>
      <c r="S592" s="264">
        <v>2006</v>
      </c>
      <c r="T592" s="266" t="s">
        <v>163</v>
      </c>
      <c r="U592" s="267">
        <v>42653</v>
      </c>
      <c r="V592" s="269"/>
      <c r="W592" s="366">
        <f>COUNT(RawMaterials[[#This Row],[Lab Quantity 1]:[Lab Quantity 4]])</f>
        <v>0</v>
      </c>
      <c r="X59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2" s="367" t="e">
        <f>RawMaterials[[#This Row],[Lab Price 1]]/RawMaterials[[#This Row],[Lab Q Model Units 1]]</f>
        <v>#N/A</v>
      </c>
      <c r="AC592" s="367" t="e">
        <f>RawMaterials[[#This Row],[Lab Price 2]]/RawMaterials[[#This Row],[Lab Q Model Units 2]]</f>
        <v>#N/A</v>
      </c>
      <c r="AD592" s="367" t="e">
        <f>RawMaterials[[#This Row],[Lab Price 3]]/RawMaterials[[#This Row],[Lab Q Model Units 3]]</f>
        <v>#N/A</v>
      </c>
      <c r="AE592" s="367" t="e">
        <f>RawMaterials[[#This Row],[Lab Price 4]]/RawMaterials[[#This Row],[Lab Q Model Units 4]]</f>
        <v>#N/A</v>
      </c>
      <c r="AF592" s="367" t="str">
        <f ca="1">IF(RawMaterials[[#This Row],[Lab Quote Count]]&gt;1,SLOPE(LOG(INDIRECT("RawMaterials[@[Lab Unit P 1]:[Lab Unit P "&amp;RawMaterials[[#This Row],[Lab Quote Count]]&amp;"]]")),LOG(INDIRECT("RawMaterials[@[Lab Q Model Units 1]:[Lab Q Model Units "&amp;RawMaterials[[#This Row],[Lab Quote Count]]&amp;"]]"))),"")</f>
        <v/>
      </c>
      <c r="AG592" s="367" t="str">
        <f ca="1">IF(RawMaterials[[#This Row],[Lab Quote Count]]&gt;1,INTERCEPT(LOG(INDIRECT("RawMaterials[@[Lab Unit P 1]:[Lab Unit P "&amp;RawMaterials[[#This Row],[Lab Quote Count]]&amp;"]]")),LOG(INDIRECT("RawMaterials[@[Lab Q Model Units 1]:[Lab Q Model Units "&amp;RawMaterials[[#This Row],[Lab Quote Count]]&amp;"]]"))),"")</f>
        <v/>
      </c>
      <c r="AH592" s="368" t="str">
        <f>IF(RawMaterials[[#This Row],[Material Type]]="Metal Precursor","D13",IF(RawMaterials[[#This Row],[Material Type]]="Ligand","D13","D12"))</f>
        <v>D12</v>
      </c>
      <c r="AI592" s="369" t="str">
        <f ca="1">IF(RawMaterials[[#This Row],[Lab Quote Count]]&gt;1,10^RawMaterials[[#This Row],[Lab Log-Log Intercept]]*INDIRECT(RawMaterials[[#This Row],[Basis Cell]])^RawMaterials[[#This Row],[Lab Log-Log Slope]],"&gt;&gt;&gt; Enter 2 or more lab quotes &lt;&lt;&lt;")</f>
        <v>&gt;&gt;&gt; Enter 2 or more lab quotes &lt;&lt;&lt;</v>
      </c>
      <c r="AJ59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1.05</v>
      </c>
      <c r="AL592" s="372">
        <f>IF(ISTEXT(RawMaterials[[#This Row],[Unit price in quote year]]),"Check calcs",RawMaterials[[#This Row],[Unit price in quote year]]/VLOOKUP(RawMaterials[[#This Row],[Quote Year]],ChemPPI[],14,FALSE)*VLOOKUP(BasisYear,ChemPPI[],14,FALSE))</f>
        <v>1.4250762195121953</v>
      </c>
      <c r="AM592" s="373" t="str">
        <f t="shared" ref="AM592:AM621" si="9">CurrencySymbol&amp;"/"&amp;OutMassUnit&amp;" ("&amp;BasisYear&amp;")"</f>
        <v>$/lb (2016)</v>
      </c>
    </row>
    <row r="593" spans="1:39">
      <c r="A593" s="263" t="s">
        <v>1688</v>
      </c>
      <c r="B593" s="264"/>
      <c r="C593" s="271"/>
      <c r="D593" s="365">
        <v>0.86699999999999999</v>
      </c>
      <c r="E593" s="264">
        <v>100</v>
      </c>
      <c r="F593" s="264"/>
      <c r="G593" s="271"/>
      <c r="H593" s="271"/>
      <c r="I593" s="268"/>
      <c r="J593" s="271"/>
      <c r="K593" s="271"/>
      <c r="L593" s="271"/>
      <c r="M593" s="271"/>
      <c r="N593" s="271"/>
      <c r="O593" s="271"/>
      <c r="P593" s="265">
        <v>3.3499999999999899</v>
      </c>
      <c r="Q593" s="264">
        <v>1</v>
      </c>
      <c r="R593" s="264" t="s">
        <v>85</v>
      </c>
      <c r="S593" s="264">
        <v>2008</v>
      </c>
      <c r="T593" s="266" t="s">
        <v>163</v>
      </c>
      <c r="U593" s="267">
        <v>42653</v>
      </c>
      <c r="V593" s="269"/>
      <c r="W593" s="366">
        <f>COUNT(RawMaterials[[#This Row],[Lab Quantity 1]:[Lab Quantity 4]])</f>
        <v>0</v>
      </c>
      <c r="X59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3" s="367" t="e">
        <f>RawMaterials[[#This Row],[Lab Price 1]]/RawMaterials[[#This Row],[Lab Q Model Units 1]]</f>
        <v>#N/A</v>
      </c>
      <c r="AC593" s="367" t="e">
        <f>RawMaterials[[#This Row],[Lab Price 2]]/RawMaterials[[#This Row],[Lab Q Model Units 2]]</f>
        <v>#N/A</v>
      </c>
      <c r="AD593" s="367" t="e">
        <f>RawMaterials[[#This Row],[Lab Price 3]]/RawMaterials[[#This Row],[Lab Q Model Units 3]]</f>
        <v>#N/A</v>
      </c>
      <c r="AE593" s="367" t="e">
        <f>RawMaterials[[#This Row],[Lab Price 4]]/RawMaterials[[#This Row],[Lab Q Model Units 4]]</f>
        <v>#N/A</v>
      </c>
      <c r="AF593" s="367" t="str">
        <f ca="1">IF(RawMaterials[[#This Row],[Lab Quote Count]]&gt;1,SLOPE(LOG(INDIRECT("RawMaterials[@[Lab Unit P 1]:[Lab Unit P "&amp;RawMaterials[[#This Row],[Lab Quote Count]]&amp;"]]")),LOG(INDIRECT("RawMaterials[@[Lab Q Model Units 1]:[Lab Q Model Units "&amp;RawMaterials[[#This Row],[Lab Quote Count]]&amp;"]]"))),"")</f>
        <v/>
      </c>
      <c r="AG593" s="367" t="str">
        <f ca="1">IF(RawMaterials[[#This Row],[Lab Quote Count]]&gt;1,INTERCEPT(LOG(INDIRECT("RawMaterials[@[Lab Unit P 1]:[Lab Unit P "&amp;RawMaterials[[#This Row],[Lab Quote Count]]&amp;"]]")),LOG(INDIRECT("RawMaterials[@[Lab Q Model Units 1]:[Lab Q Model Units "&amp;RawMaterials[[#This Row],[Lab Quote Count]]&amp;"]]"))),"")</f>
        <v/>
      </c>
      <c r="AH593" s="368" t="str">
        <f>IF(RawMaterials[[#This Row],[Material Type]]="Metal Precursor","D13",IF(RawMaterials[[#This Row],[Material Type]]="Ligand","D13","D12"))</f>
        <v>D12</v>
      </c>
      <c r="AI593" s="369" t="str">
        <f ca="1">IF(RawMaterials[[#This Row],[Lab Quote Count]]&gt;1,10^RawMaterials[[#This Row],[Lab Log-Log Intercept]]*INDIRECT(RawMaterials[[#This Row],[Basis Cell]])^RawMaterials[[#This Row],[Lab Log-Log Slope]],"&gt;&gt;&gt; Enter 2 or more lab quotes &lt;&lt;&lt;")</f>
        <v>&gt;&gt;&gt; Enter 2 or more lab quotes &lt;&lt;&lt;</v>
      </c>
      <c r="AJ59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0.46299715283921861</v>
      </c>
      <c r="AL593" s="372">
        <f>IF(ISTEXT(RawMaterials[[#This Row],[Unit price in quote year]]),"Check calcs",RawMaterials[[#This Row],[Unit price in quote year]]/VLOOKUP(RawMaterials[[#This Row],[Quote Year]],ChemPPI[],14,FALSE)*VLOOKUP(BasisYear,ChemPPI[],14,FALSE))</f>
        <v>0.54190194423234017</v>
      </c>
      <c r="AM593" s="373" t="str">
        <f t="shared" si="9"/>
        <v>$/lb (2016)</v>
      </c>
    </row>
    <row r="594" spans="1:39">
      <c r="A594" s="263" t="s">
        <v>1689</v>
      </c>
      <c r="B594" s="264"/>
      <c r="C594" s="271"/>
      <c r="D594" s="365">
        <v>0.86699999999999999</v>
      </c>
      <c r="E594" s="264">
        <v>100</v>
      </c>
      <c r="F594" s="264"/>
      <c r="G594" s="271"/>
      <c r="H594" s="271"/>
      <c r="I594" s="268"/>
      <c r="J594" s="271"/>
      <c r="K594" s="271"/>
      <c r="L594" s="271"/>
      <c r="M594" s="271"/>
      <c r="N594" s="271"/>
      <c r="O594" s="271"/>
      <c r="P594" s="265">
        <v>3.3899999999999899</v>
      </c>
      <c r="Q594" s="264">
        <v>1</v>
      </c>
      <c r="R594" s="264" t="s">
        <v>85</v>
      </c>
      <c r="S594" s="264">
        <v>2008</v>
      </c>
      <c r="T594" s="266" t="s">
        <v>163</v>
      </c>
      <c r="U594" s="267">
        <v>42653</v>
      </c>
      <c r="V594" s="269"/>
      <c r="W594" s="366">
        <f>COUNT(RawMaterials[[#This Row],[Lab Quantity 1]:[Lab Quantity 4]])</f>
        <v>0</v>
      </c>
      <c r="X59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4" s="367" t="e">
        <f>RawMaterials[[#This Row],[Lab Price 1]]/RawMaterials[[#This Row],[Lab Q Model Units 1]]</f>
        <v>#N/A</v>
      </c>
      <c r="AC594" s="367" t="e">
        <f>RawMaterials[[#This Row],[Lab Price 2]]/RawMaterials[[#This Row],[Lab Q Model Units 2]]</f>
        <v>#N/A</v>
      </c>
      <c r="AD594" s="367" t="e">
        <f>RawMaterials[[#This Row],[Lab Price 3]]/RawMaterials[[#This Row],[Lab Q Model Units 3]]</f>
        <v>#N/A</v>
      </c>
      <c r="AE594" s="367" t="e">
        <f>RawMaterials[[#This Row],[Lab Price 4]]/RawMaterials[[#This Row],[Lab Q Model Units 4]]</f>
        <v>#N/A</v>
      </c>
      <c r="AF594" s="367" t="str">
        <f ca="1">IF(RawMaterials[[#This Row],[Lab Quote Count]]&gt;1,SLOPE(LOG(INDIRECT("RawMaterials[@[Lab Unit P 1]:[Lab Unit P "&amp;RawMaterials[[#This Row],[Lab Quote Count]]&amp;"]]")),LOG(INDIRECT("RawMaterials[@[Lab Q Model Units 1]:[Lab Q Model Units "&amp;RawMaterials[[#This Row],[Lab Quote Count]]&amp;"]]"))),"")</f>
        <v/>
      </c>
      <c r="AG594" s="367" t="str">
        <f ca="1">IF(RawMaterials[[#This Row],[Lab Quote Count]]&gt;1,INTERCEPT(LOG(INDIRECT("RawMaterials[@[Lab Unit P 1]:[Lab Unit P "&amp;RawMaterials[[#This Row],[Lab Quote Count]]&amp;"]]")),LOG(INDIRECT("RawMaterials[@[Lab Q Model Units 1]:[Lab Q Model Units "&amp;RawMaterials[[#This Row],[Lab Quote Count]]&amp;"]]"))),"")</f>
        <v/>
      </c>
      <c r="AH594" s="368" t="str">
        <f>IF(RawMaterials[[#This Row],[Material Type]]="Metal Precursor","D13",IF(RawMaterials[[#This Row],[Material Type]]="Ligand","D13","D12"))</f>
        <v>D12</v>
      </c>
      <c r="AI594" s="369" t="str">
        <f ca="1">IF(RawMaterials[[#This Row],[Lab Quote Count]]&gt;1,10^RawMaterials[[#This Row],[Lab Log-Log Intercept]]*INDIRECT(RawMaterials[[#This Row],[Basis Cell]])^RawMaterials[[#This Row],[Lab Log-Log Slope]],"&gt;&gt;&gt; Enter 2 or more lab quotes &lt;&lt;&lt;")</f>
        <v>&gt;&gt;&gt; Enter 2 or more lab quotes &lt;&lt;&lt;</v>
      </c>
      <c r="AJ59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7.2354656599007603</v>
      </c>
      <c r="AK59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0.46852547705222419</v>
      </c>
      <c r="AL594" s="372">
        <f>IF(ISTEXT(RawMaterials[[#This Row],[Unit price in quote year]]),"Check calcs",RawMaterials[[#This Row],[Unit price in quote year]]/VLOOKUP(RawMaterials[[#This Row],[Quote Year]],ChemPPI[],14,FALSE)*VLOOKUP(BasisYear,ChemPPI[],14,FALSE))</f>
        <v>0.54837241520824864</v>
      </c>
      <c r="AM594" s="373" t="str">
        <f t="shared" si="9"/>
        <v>$/lb (2016)</v>
      </c>
    </row>
    <row r="595" spans="1:39">
      <c r="A595" s="263" t="s">
        <v>1690</v>
      </c>
      <c r="B595" s="264"/>
      <c r="C595" s="271"/>
      <c r="D595" s="365"/>
      <c r="E595" s="264">
        <v>100</v>
      </c>
      <c r="F595" s="264"/>
      <c r="G595" s="271"/>
      <c r="H595" s="271"/>
      <c r="I595" s="268"/>
      <c r="J595" s="271"/>
      <c r="K595" s="271"/>
      <c r="L595" s="271"/>
      <c r="M595" s="271"/>
      <c r="N595" s="271"/>
      <c r="O595" s="271"/>
      <c r="P595" s="265">
        <v>0.54</v>
      </c>
      <c r="Q595" s="264">
        <v>1</v>
      </c>
      <c r="R595" s="264" t="s">
        <v>20</v>
      </c>
      <c r="S595" s="264">
        <v>2008</v>
      </c>
      <c r="T595" s="266" t="s">
        <v>163</v>
      </c>
      <c r="U595" s="267">
        <v>42653</v>
      </c>
      <c r="V595" s="269"/>
      <c r="W595" s="366">
        <f>COUNT(RawMaterials[[#This Row],[Lab Quantity 1]:[Lab Quantity 4]])</f>
        <v>0</v>
      </c>
      <c r="X59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5" s="367" t="e">
        <f>RawMaterials[[#This Row],[Lab Price 1]]/RawMaterials[[#This Row],[Lab Q Model Units 1]]</f>
        <v>#N/A</v>
      </c>
      <c r="AC595" s="367" t="e">
        <f>RawMaterials[[#This Row],[Lab Price 2]]/RawMaterials[[#This Row],[Lab Q Model Units 2]]</f>
        <v>#N/A</v>
      </c>
      <c r="AD595" s="367" t="e">
        <f>RawMaterials[[#This Row],[Lab Price 3]]/RawMaterials[[#This Row],[Lab Q Model Units 3]]</f>
        <v>#N/A</v>
      </c>
      <c r="AE595" s="367" t="e">
        <f>RawMaterials[[#This Row],[Lab Price 4]]/RawMaterials[[#This Row],[Lab Q Model Units 4]]</f>
        <v>#N/A</v>
      </c>
      <c r="AF595" s="367" t="str">
        <f ca="1">IF(RawMaterials[[#This Row],[Lab Quote Count]]&gt;1,SLOPE(LOG(INDIRECT("RawMaterials[@[Lab Unit P 1]:[Lab Unit P "&amp;RawMaterials[[#This Row],[Lab Quote Count]]&amp;"]]")),LOG(INDIRECT("RawMaterials[@[Lab Q Model Units 1]:[Lab Q Model Units "&amp;RawMaterials[[#This Row],[Lab Quote Count]]&amp;"]]"))),"")</f>
        <v/>
      </c>
      <c r="AG595" s="367" t="str">
        <f ca="1">IF(RawMaterials[[#This Row],[Lab Quote Count]]&gt;1,INTERCEPT(LOG(INDIRECT("RawMaterials[@[Lab Unit P 1]:[Lab Unit P "&amp;RawMaterials[[#This Row],[Lab Quote Count]]&amp;"]]")),LOG(INDIRECT("RawMaterials[@[Lab Q Model Units 1]:[Lab Q Model Units "&amp;RawMaterials[[#This Row],[Lab Quote Count]]&amp;"]]"))),"")</f>
        <v/>
      </c>
      <c r="AH595" s="368" t="str">
        <f>IF(RawMaterials[[#This Row],[Material Type]]="Metal Precursor","D13",IF(RawMaterials[[#This Row],[Material Type]]="Ligand","D13","D12"))</f>
        <v>D12</v>
      </c>
      <c r="AI595" s="369" t="str">
        <f ca="1">IF(RawMaterials[[#This Row],[Lab Quote Count]]&gt;1,10^RawMaterials[[#This Row],[Lab Log-Log Intercept]]*INDIRECT(RawMaterials[[#This Row],[Basis Cell]])^RawMaterials[[#This Row],[Lab Log-Log Slope]],"&gt;&gt;&gt; Enter 2 or more lab quotes &lt;&lt;&lt;")</f>
        <v>&gt;&gt;&gt; Enter 2 or more lab quotes &lt;&lt;&lt;</v>
      </c>
      <c r="AJ59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0.54</v>
      </c>
      <c r="AL595" s="372">
        <f>IF(ISTEXT(RawMaterials[[#This Row],[Unit price in quote year]]),"Check calcs",RawMaterials[[#This Row],[Unit price in quote year]]/VLOOKUP(RawMaterials[[#This Row],[Quote Year]],ChemPPI[],14,FALSE)*VLOOKUP(BasisYear,ChemPPI[],14,FALSE))</f>
        <v>0.63202775241920772</v>
      </c>
      <c r="AM595" s="373" t="str">
        <f t="shared" si="9"/>
        <v>$/lb (2016)</v>
      </c>
    </row>
    <row r="596" spans="1:39">
      <c r="A596" s="263" t="s">
        <v>1691</v>
      </c>
      <c r="B596" s="264"/>
      <c r="C596" s="271"/>
      <c r="D596" s="365"/>
      <c r="E596" s="264">
        <v>100</v>
      </c>
      <c r="F596" s="264"/>
      <c r="G596" s="271"/>
      <c r="H596" s="271"/>
      <c r="I596" s="268"/>
      <c r="J596" s="271"/>
      <c r="K596" s="271"/>
      <c r="L596" s="271"/>
      <c r="M596" s="271"/>
      <c r="N596" s="271"/>
      <c r="O596" s="271"/>
      <c r="P596" s="265">
        <v>0.53500000000000003</v>
      </c>
      <c r="Q596" s="264">
        <v>1</v>
      </c>
      <c r="R596" s="264" t="s">
        <v>20</v>
      </c>
      <c r="S596" s="264">
        <v>2008</v>
      </c>
      <c r="T596" s="266" t="s">
        <v>163</v>
      </c>
      <c r="U596" s="267">
        <v>42653</v>
      </c>
      <c r="V596" s="269"/>
      <c r="W596" s="366">
        <f>COUNT(RawMaterials[[#This Row],[Lab Quantity 1]:[Lab Quantity 4]])</f>
        <v>0</v>
      </c>
      <c r="X59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6" s="367" t="e">
        <f>RawMaterials[[#This Row],[Lab Price 1]]/RawMaterials[[#This Row],[Lab Q Model Units 1]]</f>
        <v>#N/A</v>
      </c>
      <c r="AC596" s="367" t="e">
        <f>RawMaterials[[#This Row],[Lab Price 2]]/RawMaterials[[#This Row],[Lab Q Model Units 2]]</f>
        <v>#N/A</v>
      </c>
      <c r="AD596" s="367" t="e">
        <f>RawMaterials[[#This Row],[Lab Price 3]]/RawMaterials[[#This Row],[Lab Q Model Units 3]]</f>
        <v>#N/A</v>
      </c>
      <c r="AE596" s="367" t="e">
        <f>RawMaterials[[#This Row],[Lab Price 4]]/RawMaterials[[#This Row],[Lab Q Model Units 4]]</f>
        <v>#N/A</v>
      </c>
      <c r="AF596" s="367" t="str">
        <f ca="1">IF(RawMaterials[[#This Row],[Lab Quote Count]]&gt;1,SLOPE(LOG(INDIRECT("RawMaterials[@[Lab Unit P 1]:[Lab Unit P "&amp;RawMaterials[[#This Row],[Lab Quote Count]]&amp;"]]")),LOG(INDIRECT("RawMaterials[@[Lab Q Model Units 1]:[Lab Q Model Units "&amp;RawMaterials[[#This Row],[Lab Quote Count]]&amp;"]]"))),"")</f>
        <v/>
      </c>
      <c r="AG596" s="367" t="str">
        <f ca="1">IF(RawMaterials[[#This Row],[Lab Quote Count]]&gt;1,INTERCEPT(LOG(INDIRECT("RawMaterials[@[Lab Unit P 1]:[Lab Unit P "&amp;RawMaterials[[#This Row],[Lab Quote Count]]&amp;"]]")),LOG(INDIRECT("RawMaterials[@[Lab Q Model Units 1]:[Lab Q Model Units "&amp;RawMaterials[[#This Row],[Lab Quote Count]]&amp;"]]"))),"")</f>
        <v/>
      </c>
      <c r="AH596" s="368" t="str">
        <f>IF(RawMaterials[[#This Row],[Material Type]]="Metal Precursor","D13",IF(RawMaterials[[#This Row],[Material Type]]="Ligand","D13","D12"))</f>
        <v>D12</v>
      </c>
      <c r="AI596" s="369" t="str">
        <f ca="1">IF(RawMaterials[[#This Row],[Lab Quote Count]]&gt;1,10^RawMaterials[[#This Row],[Lab Log-Log Intercept]]*INDIRECT(RawMaterials[[#This Row],[Basis Cell]])^RawMaterials[[#This Row],[Lab Log-Log Slope]],"&gt;&gt;&gt; Enter 2 or more lab quotes &lt;&lt;&lt;")</f>
        <v>&gt;&gt;&gt; Enter 2 or more lab quotes &lt;&lt;&lt;</v>
      </c>
      <c r="AJ59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0.53500000000000003</v>
      </c>
      <c r="AL596" s="372">
        <f>IF(ISTEXT(RawMaterials[[#This Row],[Unit price in quote year]]),"Check calcs",RawMaterials[[#This Row],[Unit price in quote year]]/VLOOKUP(RawMaterials[[#This Row],[Quote Year]],ChemPPI[],14,FALSE)*VLOOKUP(BasisYear,ChemPPI[],14,FALSE))</f>
        <v>0.62617564360051126</v>
      </c>
      <c r="AM596" s="373" t="str">
        <f t="shared" si="9"/>
        <v>$/lb (2016)</v>
      </c>
    </row>
    <row r="597" spans="1:39">
      <c r="A597" s="263" t="s">
        <v>1692</v>
      </c>
      <c r="B597" s="264"/>
      <c r="C597" s="271"/>
      <c r="D597" s="365"/>
      <c r="E597" s="264">
        <v>100</v>
      </c>
      <c r="F597" s="264"/>
      <c r="G597" s="271"/>
      <c r="H597" s="271"/>
      <c r="I597" s="268"/>
      <c r="J597" s="271"/>
      <c r="K597" s="271"/>
      <c r="L597" s="271"/>
      <c r="M597" s="271"/>
      <c r="N597" s="271"/>
      <c r="O597" s="271"/>
      <c r="P597" s="265">
        <v>0.7</v>
      </c>
      <c r="Q597" s="264">
        <v>1</v>
      </c>
      <c r="R597" s="264" t="s">
        <v>20</v>
      </c>
      <c r="S597" s="264">
        <v>2006</v>
      </c>
      <c r="T597" s="266" t="s">
        <v>163</v>
      </c>
      <c r="U597" s="267">
        <v>42653</v>
      </c>
      <c r="V597" s="269"/>
      <c r="W597" s="366">
        <f>COUNT(RawMaterials[[#This Row],[Lab Quantity 1]:[Lab Quantity 4]])</f>
        <v>0</v>
      </c>
      <c r="X59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7" s="367" t="e">
        <f>RawMaterials[[#This Row],[Lab Price 1]]/RawMaterials[[#This Row],[Lab Q Model Units 1]]</f>
        <v>#N/A</v>
      </c>
      <c r="AC597" s="367" t="e">
        <f>RawMaterials[[#This Row],[Lab Price 2]]/RawMaterials[[#This Row],[Lab Q Model Units 2]]</f>
        <v>#N/A</v>
      </c>
      <c r="AD597" s="367" t="e">
        <f>RawMaterials[[#This Row],[Lab Price 3]]/RawMaterials[[#This Row],[Lab Q Model Units 3]]</f>
        <v>#N/A</v>
      </c>
      <c r="AE597" s="367" t="e">
        <f>RawMaterials[[#This Row],[Lab Price 4]]/RawMaterials[[#This Row],[Lab Q Model Units 4]]</f>
        <v>#N/A</v>
      </c>
      <c r="AF597" s="367" t="str">
        <f ca="1">IF(RawMaterials[[#This Row],[Lab Quote Count]]&gt;1,SLOPE(LOG(INDIRECT("RawMaterials[@[Lab Unit P 1]:[Lab Unit P "&amp;RawMaterials[[#This Row],[Lab Quote Count]]&amp;"]]")),LOG(INDIRECT("RawMaterials[@[Lab Q Model Units 1]:[Lab Q Model Units "&amp;RawMaterials[[#This Row],[Lab Quote Count]]&amp;"]]"))),"")</f>
        <v/>
      </c>
      <c r="AG597" s="367" t="str">
        <f ca="1">IF(RawMaterials[[#This Row],[Lab Quote Count]]&gt;1,INTERCEPT(LOG(INDIRECT("RawMaterials[@[Lab Unit P 1]:[Lab Unit P "&amp;RawMaterials[[#This Row],[Lab Quote Count]]&amp;"]]")),LOG(INDIRECT("RawMaterials[@[Lab Q Model Units 1]:[Lab Q Model Units "&amp;RawMaterials[[#This Row],[Lab Quote Count]]&amp;"]]"))),"")</f>
        <v/>
      </c>
      <c r="AH597" s="368" t="str">
        <f>IF(RawMaterials[[#This Row],[Material Type]]="Metal Precursor","D13",IF(RawMaterials[[#This Row],[Material Type]]="Ligand","D13","D12"))</f>
        <v>D12</v>
      </c>
      <c r="AI597" s="369" t="str">
        <f ca="1">IF(RawMaterials[[#This Row],[Lab Quote Count]]&gt;1,10^RawMaterials[[#This Row],[Lab Log-Log Intercept]]*INDIRECT(RawMaterials[[#This Row],[Basis Cell]])^RawMaterials[[#This Row],[Lab Log-Log Slope]],"&gt;&gt;&gt; Enter 2 or more lab quotes &lt;&lt;&lt;")</f>
        <v>&gt;&gt;&gt; Enter 2 or more lab quotes &lt;&lt;&lt;</v>
      </c>
      <c r="AJ59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0.7</v>
      </c>
      <c r="AL597" s="372">
        <f>IF(ISTEXT(RawMaterials[[#This Row],[Unit price in quote year]]),"Check calcs",RawMaterials[[#This Row],[Unit price in quote year]]/VLOOKUP(RawMaterials[[#This Row],[Quote Year]],ChemPPI[],14,FALSE)*VLOOKUP(BasisYear,ChemPPI[],14,FALSE))</f>
        <v>0.95005081300813021</v>
      </c>
      <c r="AM597" s="373" t="str">
        <f t="shared" si="9"/>
        <v>$/lb (2016)</v>
      </c>
    </row>
    <row r="598" spans="1:39">
      <c r="A598" s="263" t="s">
        <v>1693</v>
      </c>
      <c r="B598" s="264"/>
      <c r="C598" s="271"/>
      <c r="D598" s="365"/>
      <c r="E598" s="264">
        <v>100</v>
      </c>
      <c r="F598" s="264"/>
      <c r="G598" s="271"/>
      <c r="H598" s="271"/>
      <c r="I598" s="268"/>
      <c r="J598" s="271"/>
      <c r="K598" s="271"/>
      <c r="L598" s="271"/>
      <c r="M598" s="271"/>
      <c r="N598" s="271"/>
      <c r="O598" s="271"/>
      <c r="P598" s="265">
        <v>1.2</v>
      </c>
      <c r="Q598" s="264">
        <v>1</v>
      </c>
      <c r="R598" s="264" t="s">
        <v>20</v>
      </c>
      <c r="S598" s="264">
        <v>2006</v>
      </c>
      <c r="T598" s="266" t="s">
        <v>163</v>
      </c>
      <c r="U598" s="267">
        <v>42653</v>
      </c>
      <c r="V598" s="269"/>
      <c r="W598" s="366">
        <f>COUNT(RawMaterials[[#This Row],[Lab Quantity 1]:[Lab Quantity 4]])</f>
        <v>0</v>
      </c>
      <c r="X59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8" s="367" t="e">
        <f>RawMaterials[[#This Row],[Lab Price 1]]/RawMaterials[[#This Row],[Lab Q Model Units 1]]</f>
        <v>#N/A</v>
      </c>
      <c r="AC598" s="367" t="e">
        <f>RawMaterials[[#This Row],[Lab Price 2]]/RawMaterials[[#This Row],[Lab Q Model Units 2]]</f>
        <v>#N/A</v>
      </c>
      <c r="AD598" s="367" t="e">
        <f>RawMaterials[[#This Row],[Lab Price 3]]/RawMaterials[[#This Row],[Lab Q Model Units 3]]</f>
        <v>#N/A</v>
      </c>
      <c r="AE598" s="367" t="e">
        <f>RawMaterials[[#This Row],[Lab Price 4]]/RawMaterials[[#This Row],[Lab Q Model Units 4]]</f>
        <v>#N/A</v>
      </c>
      <c r="AF598" s="367" t="str">
        <f ca="1">IF(RawMaterials[[#This Row],[Lab Quote Count]]&gt;1,SLOPE(LOG(INDIRECT("RawMaterials[@[Lab Unit P 1]:[Lab Unit P "&amp;RawMaterials[[#This Row],[Lab Quote Count]]&amp;"]]")),LOG(INDIRECT("RawMaterials[@[Lab Q Model Units 1]:[Lab Q Model Units "&amp;RawMaterials[[#This Row],[Lab Quote Count]]&amp;"]]"))),"")</f>
        <v/>
      </c>
      <c r="AG598" s="367" t="str">
        <f ca="1">IF(RawMaterials[[#This Row],[Lab Quote Count]]&gt;1,INTERCEPT(LOG(INDIRECT("RawMaterials[@[Lab Unit P 1]:[Lab Unit P "&amp;RawMaterials[[#This Row],[Lab Quote Count]]&amp;"]]")),LOG(INDIRECT("RawMaterials[@[Lab Q Model Units 1]:[Lab Q Model Units "&amp;RawMaterials[[#This Row],[Lab Quote Count]]&amp;"]]"))),"")</f>
        <v/>
      </c>
      <c r="AH598" s="368" t="str">
        <f>IF(RawMaterials[[#This Row],[Material Type]]="Metal Precursor","D13",IF(RawMaterials[[#This Row],[Material Type]]="Ligand","D13","D12"))</f>
        <v>D12</v>
      </c>
      <c r="AI598" s="369" t="str">
        <f ca="1">IF(RawMaterials[[#This Row],[Lab Quote Count]]&gt;1,10^RawMaterials[[#This Row],[Lab Log-Log Intercept]]*INDIRECT(RawMaterials[[#This Row],[Basis Cell]])^RawMaterials[[#This Row],[Lab Log-Log Slope]],"&gt;&gt;&gt; Enter 2 or more lab quotes &lt;&lt;&lt;")</f>
        <v>&gt;&gt;&gt; Enter 2 or more lab quotes &lt;&lt;&lt;</v>
      </c>
      <c r="AJ59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1.2</v>
      </c>
      <c r="AL598" s="372">
        <f>IF(ISTEXT(RawMaterials[[#This Row],[Unit price in quote year]]),"Check calcs",RawMaterials[[#This Row],[Unit price in quote year]]/VLOOKUP(RawMaterials[[#This Row],[Quote Year]],ChemPPI[],14,FALSE)*VLOOKUP(BasisYear,ChemPPI[],14,FALSE))</f>
        <v>1.6286585365853661</v>
      </c>
      <c r="AM598" s="373" t="str">
        <f t="shared" si="9"/>
        <v>$/lb (2016)</v>
      </c>
    </row>
    <row r="599" spans="1:39">
      <c r="A599" s="263" t="s">
        <v>1694</v>
      </c>
      <c r="B599" s="264"/>
      <c r="C599" s="271"/>
      <c r="D599" s="365"/>
      <c r="E599" s="264">
        <v>100</v>
      </c>
      <c r="F599" s="264"/>
      <c r="G599" s="271"/>
      <c r="H599" s="271"/>
      <c r="I599" s="268"/>
      <c r="J599" s="271"/>
      <c r="K599" s="271"/>
      <c r="L599" s="271"/>
      <c r="M599" s="271"/>
      <c r="N599" s="271"/>
      <c r="O599" s="271"/>
      <c r="P599" s="265">
        <v>0.85</v>
      </c>
      <c r="Q599" s="264">
        <v>1</v>
      </c>
      <c r="R599" s="264" t="s">
        <v>20</v>
      </c>
      <c r="S599" s="264">
        <v>2007</v>
      </c>
      <c r="T599" s="266" t="s">
        <v>163</v>
      </c>
      <c r="U599" s="267">
        <v>42653</v>
      </c>
      <c r="V599" s="269"/>
      <c r="W599" s="366">
        <f>COUNT(RawMaterials[[#This Row],[Lab Quantity 1]:[Lab Quantity 4]])</f>
        <v>0</v>
      </c>
      <c r="X59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59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59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59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599" s="367" t="e">
        <f>RawMaterials[[#This Row],[Lab Price 1]]/RawMaterials[[#This Row],[Lab Q Model Units 1]]</f>
        <v>#N/A</v>
      </c>
      <c r="AC599" s="367" t="e">
        <f>RawMaterials[[#This Row],[Lab Price 2]]/RawMaterials[[#This Row],[Lab Q Model Units 2]]</f>
        <v>#N/A</v>
      </c>
      <c r="AD599" s="367" t="e">
        <f>RawMaterials[[#This Row],[Lab Price 3]]/RawMaterials[[#This Row],[Lab Q Model Units 3]]</f>
        <v>#N/A</v>
      </c>
      <c r="AE599" s="367" t="e">
        <f>RawMaterials[[#This Row],[Lab Price 4]]/RawMaterials[[#This Row],[Lab Q Model Units 4]]</f>
        <v>#N/A</v>
      </c>
      <c r="AF599" s="367" t="str">
        <f ca="1">IF(RawMaterials[[#This Row],[Lab Quote Count]]&gt;1,SLOPE(LOG(INDIRECT("RawMaterials[@[Lab Unit P 1]:[Lab Unit P "&amp;RawMaterials[[#This Row],[Lab Quote Count]]&amp;"]]")),LOG(INDIRECT("RawMaterials[@[Lab Q Model Units 1]:[Lab Q Model Units "&amp;RawMaterials[[#This Row],[Lab Quote Count]]&amp;"]]"))),"")</f>
        <v/>
      </c>
      <c r="AG599" s="367" t="str">
        <f ca="1">IF(RawMaterials[[#This Row],[Lab Quote Count]]&gt;1,INTERCEPT(LOG(INDIRECT("RawMaterials[@[Lab Unit P 1]:[Lab Unit P "&amp;RawMaterials[[#This Row],[Lab Quote Count]]&amp;"]]")),LOG(INDIRECT("RawMaterials[@[Lab Q Model Units 1]:[Lab Q Model Units "&amp;RawMaterials[[#This Row],[Lab Quote Count]]&amp;"]]"))),"")</f>
        <v/>
      </c>
      <c r="AH599" s="368" t="str">
        <f>IF(RawMaterials[[#This Row],[Material Type]]="Metal Precursor","D13",IF(RawMaterials[[#This Row],[Material Type]]="Ligand","D13","D12"))</f>
        <v>D12</v>
      </c>
      <c r="AI599" s="369" t="str">
        <f ca="1">IF(RawMaterials[[#This Row],[Lab Quote Count]]&gt;1,10^RawMaterials[[#This Row],[Lab Log-Log Intercept]]*INDIRECT(RawMaterials[[#This Row],[Basis Cell]])^RawMaterials[[#This Row],[Lab Log-Log Slope]],"&gt;&gt;&gt; Enter 2 or more lab quotes &lt;&lt;&lt;")</f>
        <v>&gt;&gt;&gt; Enter 2 or more lab quotes &lt;&lt;&lt;</v>
      </c>
      <c r="AJ59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59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0.85</v>
      </c>
      <c r="AL599" s="372">
        <f>IF(ISTEXT(RawMaterials[[#This Row],[Unit price in quote year]]),"Check calcs",RawMaterials[[#This Row],[Unit price in quote year]]/VLOOKUP(RawMaterials[[#This Row],[Quote Year]],ChemPPI[],14,FALSE)*VLOOKUP(BasisYear,ChemPPI[],14,FALSE))</f>
        <v>1.1165198147616902</v>
      </c>
      <c r="AM599" s="373" t="str">
        <f t="shared" si="9"/>
        <v>$/lb (2016)</v>
      </c>
    </row>
    <row r="600" spans="1:39">
      <c r="A600" s="377" t="s">
        <v>186</v>
      </c>
      <c r="B600" s="379"/>
      <c r="C600" s="383"/>
      <c r="D600" s="378"/>
      <c r="E600" s="379">
        <v>100</v>
      </c>
      <c r="F600" s="379"/>
      <c r="G600" s="383"/>
      <c r="H600" s="383"/>
      <c r="I600" s="380"/>
      <c r="J600" s="383"/>
      <c r="K600" s="383"/>
      <c r="L600" s="383"/>
      <c r="M600" s="383"/>
      <c r="N600" s="383"/>
      <c r="O600" s="383"/>
      <c r="P600" s="381">
        <v>24.04</v>
      </c>
      <c r="Q600" s="264">
        <v>1</v>
      </c>
      <c r="R600" s="379" t="s">
        <v>71</v>
      </c>
      <c r="S600" s="379">
        <v>2016</v>
      </c>
      <c r="T600" s="366" t="s">
        <v>178</v>
      </c>
      <c r="U600" s="382">
        <v>43339</v>
      </c>
      <c r="V600" s="269" t="s">
        <v>1716</v>
      </c>
      <c r="W600" s="366">
        <f>COUNT(RawMaterials[[#This Row],[Lab Quantity 1]:[Lab Quantity 4]])</f>
        <v>0</v>
      </c>
      <c r="X60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0" s="367" t="e">
        <f>RawMaterials[[#This Row],[Lab Price 1]]/RawMaterials[[#This Row],[Lab Q Model Units 1]]</f>
        <v>#N/A</v>
      </c>
      <c r="AC600" s="367" t="e">
        <f>RawMaterials[[#This Row],[Lab Price 2]]/RawMaterials[[#This Row],[Lab Q Model Units 2]]</f>
        <v>#N/A</v>
      </c>
      <c r="AD600" s="367" t="e">
        <f>RawMaterials[[#This Row],[Lab Price 3]]/RawMaterials[[#This Row],[Lab Q Model Units 3]]</f>
        <v>#N/A</v>
      </c>
      <c r="AE600" s="367" t="e">
        <f>RawMaterials[[#This Row],[Lab Price 4]]/RawMaterials[[#This Row],[Lab Q Model Units 4]]</f>
        <v>#N/A</v>
      </c>
      <c r="AF600" s="367" t="str">
        <f ca="1">IF(RawMaterials[[#This Row],[Lab Quote Count]]&gt;1,SLOPE(LOG(INDIRECT("RawMaterials[@[Lab Unit P 1]:[Lab Unit P "&amp;RawMaterials[[#This Row],[Lab Quote Count]]&amp;"]]")),LOG(INDIRECT("RawMaterials[@[Lab Q Model Units 1]:[Lab Q Model Units "&amp;RawMaterials[[#This Row],[Lab Quote Count]]&amp;"]]"))),"")</f>
        <v/>
      </c>
      <c r="AG600" s="367" t="str">
        <f ca="1">IF(RawMaterials[[#This Row],[Lab Quote Count]]&gt;1,INTERCEPT(LOG(INDIRECT("RawMaterials[@[Lab Unit P 1]:[Lab Unit P "&amp;RawMaterials[[#This Row],[Lab Quote Count]]&amp;"]]")),LOG(INDIRECT("RawMaterials[@[Lab Q Model Units 1]:[Lab Q Model Units "&amp;RawMaterials[[#This Row],[Lab Quote Count]]&amp;"]]"))),"")</f>
        <v/>
      </c>
      <c r="AH600" s="368" t="str">
        <f>IF(RawMaterials[[#This Row],[Material Type]]="Metal Precursor","D13",IF(RawMaterials[[#This Row],[Material Type]]="Ligand","D13","D12"))</f>
        <v>D12</v>
      </c>
      <c r="AI600" s="369" t="str">
        <f ca="1">IF(RawMaterials[[#This Row],[Lab Quote Count]]&gt;1,10^RawMaterials[[#This Row],[Lab Log-Log Intercept]]*INDIRECT(RawMaterials[[#This Row],[Basis Cell]])^RawMaterials[[#This Row],[Lab Log-Log Slope]],"&gt;&gt;&gt; Enter 2 or more lab quotes &lt;&lt;&lt;")</f>
        <v>&gt;&gt;&gt; Enter 2 or more lab quotes &lt;&lt;&lt;</v>
      </c>
      <c r="AJ60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10.9043605748</v>
      </c>
      <c r="AL600" s="372">
        <f>IF(ISTEXT(RawMaterials[[#This Row],[Unit price in quote year]]),"Check calcs",RawMaterials[[#This Row],[Unit price in quote year]]/VLOOKUP(RawMaterials[[#This Row],[Quote Year]],ChemPPI[],14,FALSE)*VLOOKUP(BasisYear,ChemPPI[],14,FALSE))</f>
        <v>10.9043605748</v>
      </c>
      <c r="AM600" s="373" t="str">
        <f t="shared" si="9"/>
        <v>$/lb (2016)</v>
      </c>
    </row>
    <row r="601" spans="1:39">
      <c r="A601" s="263" t="s">
        <v>1695</v>
      </c>
      <c r="B601" s="264"/>
      <c r="C601" s="271"/>
      <c r="D601" s="365">
        <v>0.86499999999999999</v>
      </c>
      <c r="E601" s="264">
        <v>100</v>
      </c>
      <c r="F601" s="264"/>
      <c r="G601" s="271"/>
      <c r="H601" s="271"/>
      <c r="I601" s="268"/>
      <c r="J601" s="271"/>
      <c r="K601" s="271"/>
      <c r="L601" s="271"/>
      <c r="M601" s="271"/>
      <c r="N601" s="271"/>
      <c r="O601" s="271"/>
      <c r="P601" s="265">
        <v>0.85</v>
      </c>
      <c r="Q601" s="264">
        <v>1</v>
      </c>
      <c r="R601" s="264" t="s">
        <v>85</v>
      </c>
      <c r="S601" s="264">
        <v>2006</v>
      </c>
      <c r="T601" s="266" t="s">
        <v>163</v>
      </c>
      <c r="U601" s="267">
        <v>42653</v>
      </c>
      <c r="V601" s="269"/>
      <c r="W601" s="366">
        <f>COUNT(RawMaterials[[#This Row],[Lab Quantity 1]:[Lab Quantity 4]])</f>
        <v>0</v>
      </c>
      <c r="X60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1" s="367" t="e">
        <f>RawMaterials[[#This Row],[Lab Price 1]]/RawMaterials[[#This Row],[Lab Q Model Units 1]]</f>
        <v>#N/A</v>
      </c>
      <c r="AC601" s="367" t="e">
        <f>RawMaterials[[#This Row],[Lab Price 2]]/RawMaterials[[#This Row],[Lab Q Model Units 2]]</f>
        <v>#N/A</v>
      </c>
      <c r="AD601" s="367" t="e">
        <f>RawMaterials[[#This Row],[Lab Price 3]]/RawMaterials[[#This Row],[Lab Q Model Units 3]]</f>
        <v>#N/A</v>
      </c>
      <c r="AE601" s="367" t="e">
        <f>RawMaterials[[#This Row],[Lab Price 4]]/RawMaterials[[#This Row],[Lab Q Model Units 4]]</f>
        <v>#N/A</v>
      </c>
      <c r="AF601" s="367" t="str">
        <f ca="1">IF(RawMaterials[[#This Row],[Lab Quote Count]]&gt;1,SLOPE(LOG(INDIRECT("RawMaterials[@[Lab Unit P 1]:[Lab Unit P "&amp;RawMaterials[[#This Row],[Lab Quote Count]]&amp;"]]")),LOG(INDIRECT("RawMaterials[@[Lab Q Model Units 1]:[Lab Q Model Units "&amp;RawMaterials[[#This Row],[Lab Quote Count]]&amp;"]]"))),"")</f>
        <v/>
      </c>
      <c r="AG601" s="367" t="str">
        <f ca="1">IF(RawMaterials[[#This Row],[Lab Quote Count]]&gt;1,INTERCEPT(LOG(INDIRECT("RawMaterials[@[Lab Unit P 1]:[Lab Unit P "&amp;RawMaterials[[#This Row],[Lab Quote Count]]&amp;"]]")),LOG(INDIRECT("RawMaterials[@[Lab Q Model Units 1]:[Lab Q Model Units "&amp;RawMaterials[[#This Row],[Lab Quote Count]]&amp;"]]"))),"")</f>
        <v/>
      </c>
      <c r="AH601" s="368" t="str">
        <f>IF(RawMaterials[[#This Row],[Material Type]]="Metal Precursor","D13",IF(RawMaterials[[#This Row],[Material Type]]="Ligand","D13","D12"))</f>
        <v>D12</v>
      </c>
      <c r="AI601" s="369" t="str">
        <f ca="1">IF(RawMaterials[[#This Row],[Lab Quote Count]]&gt;1,10^RawMaterials[[#This Row],[Lab Log-Log Intercept]]*INDIRECT(RawMaterials[[#This Row],[Basis Cell]])^RawMaterials[[#This Row],[Lab Log-Log Slope]],"&gt;&gt;&gt; Enter 2 or more lab quotes &lt;&lt;&lt;")</f>
        <v>&gt;&gt;&gt; Enter 2 or more lab quotes &lt;&lt;&lt;</v>
      </c>
      <c r="AJ60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7.2187748509967218</v>
      </c>
      <c r="AK60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0.11774851239232617</v>
      </c>
      <c r="AL601" s="372">
        <f>IF(ISTEXT(RawMaterials[[#This Row],[Unit price in quote year]]),"Check calcs",RawMaterials[[#This Row],[Unit price in quote year]]/VLOOKUP(RawMaterials[[#This Row],[Quote Year]],ChemPPI[],14,FALSE)*VLOOKUP(BasisYear,ChemPPI[],14,FALSE))</f>
        <v>0.15981009989832481</v>
      </c>
      <c r="AM601" s="373" t="str">
        <f t="shared" si="9"/>
        <v>$/lb (2016)</v>
      </c>
    </row>
    <row r="602" spans="1:39">
      <c r="A602" s="263" t="s">
        <v>1696</v>
      </c>
      <c r="B602" s="264"/>
      <c r="C602" s="271"/>
      <c r="D602" s="365"/>
      <c r="E602" s="264">
        <v>100</v>
      </c>
      <c r="F602" s="264"/>
      <c r="G602" s="271"/>
      <c r="H602" s="271"/>
      <c r="I602" s="268"/>
      <c r="J602" s="271"/>
      <c r="K602" s="271"/>
      <c r="L602" s="271"/>
      <c r="M602" s="271"/>
      <c r="N602" s="271"/>
      <c r="O602" s="271"/>
      <c r="P602" s="265">
        <v>590</v>
      </c>
      <c r="Q602" s="264">
        <v>1</v>
      </c>
      <c r="R602" s="264" t="s">
        <v>406</v>
      </c>
      <c r="S602" s="264">
        <v>2008</v>
      </c>
      <c r="T602" s="266" t="s">
        <v>163</v>
      </c>
      <c r="U602" s="267">
        <v>42653</v>
      </c>
      <c r="V602" s="269"/>
      <c r="W602" s="366">
        <f>COUNT(RawMaterials[[#This Row],[Lab Quantity 1]:[Lab Quantity 4]])</f>
        <v>0</v>
      </c>
      <c r="X60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2" s="367" t="e">
        <f>RawMaterials[[#This Row],[Lab Price 1]]/RawMaterials[[#This Row],[Lab Q Model Units 1]]</f>
        <v>#N/A</v>
      </c>
      <c r="AC602" s="367" t="e">
        <f>RawMaterials[[#This Row],[Lab Price 2]]/RawMaterials[[#This Row],[Lab Q Model Units 2]]</f>
        <v>#N/A</v>
      </c>
      <c r="AD602" s="367" t="e">
        <f>RawMaterials[[#This Row],[Lab Price 3]]/RawMaterials[[#This Row],[Lab Q Model Units 3]]</f>
        <v>#N/A</v>
      </c>
      <c r="AE602" s="367" t="e">
        <f>RawMaterials[[#This Row],[Lab Price 4]]/RawMaterials[[#This Row],[Lab Q Model Units 4]]</f>
        <v>#N/A</v>
      </c>
      <c r="AF602" s="367" t="str">
        <f ca="1">IF(RawMaterials[[#This Row],[Lab Quote Count]]&gt;1,SLOPE(LOG(INDIRECT("RawMaterials[@[Lab Unit P 1]:[Lab Unit P "&amp;RawMaterials[[#This Row],[Lab Quote Count]]&amp;"]]")),LOG(INDIRECT("RawMaterials[@[Lab Q Model Units 1]:[Lab Q Model Units "&amp;RawMaterials[[#This Row],[Lab Quote Count]]&amp;"]]"))),"")</f>
        <v/>
      </c>
      <c r="AG602" s="367" t="str">
        <f ca="1">IF(RawMaterials[[#This Row],[Lab Quote Count]]&gt;1,INTERCEPT(LOG(INDIRECT("RawMaterials[@[Lab Unit P 1]:[Lab Unit P "&amp;RawMaterials[[#This Row],[Lab Quote Count]]&amp;"]]")),LOG(INDIRECT("RawMaterials[@[Lab Q Model Units 1]:[Lab Q Model Units "&amp;RawMaterials[[#This Row],[Lab Quote Count]]&amp;"]]"))),"")</f>
        <v/>
      </c>
      <c r="AH602" s="368" t="str">
        <f>IF(RawMaterials[[#This Row],[Material Type]]="Metal Precursor","D13",IF(RawMaterials[[#This Row],[Material Type]]="Ligand","D13","D12"))</f>
        <v>D12</v>
      </c>
      <c r="AI602" s="369" t="str">
        <f ca="1">IF(RawMaterials[[#This Row],[Lab Quote Count]]&gt;1,10^RawMaterials[[#This Row],[Lab Log-Log Intercept]]*INDIRECT(RawMaterials[[#This Row],[Basis Cell]])^RawMaterials[[#This Row],[Lab Log-Log Slope]],"&gt;&gt;&gt; Enter 2 or more lab quotes &lt;&lt;&lt;")</f>
        <v>&gt;&gt;&gt; Enter 2 or more lab quotes &lt;&lt;&lt;</v>
      </c>
      <c r="AJ60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0.29499999999999998</v>
      </c>
      <c r="AL602" s="372">
        <f>IF(ISTEXT(RawMaterials[[#This Row],[Unit price in quote year]]),"Check calcs",RawMaterials[[#This Row],[Unit price in quote year]]/VLOOKUP(RawMaterials[[#This Row],[Quote Year]],ChemPPI[],14,FALSE)*VLOOKUP(BasisYear,ChemPPI[],14,FALSE))</f>
        <v>0.34527442030308564</v>
      </c>
      <c r="AM602" s="373" t="str">
        <f t="shared" si="9"/>
        <v>$/lb (2016)</v>
      </c>
    </row>
    <row r="603" spans="1:39">
      <c r="A603" s="263" t="s">
        <v>1697</v>
      </c>
      <c r="B603" s="264"/>
      <c r="C603" s="271"/>
      <c r="D603" s="365"/>
      <c r="E603" s="264">
        <v>100</v>
      </c>
      <c r="F603" s="264"/>
      <c r="G603" s="271"/>
      <c r="H603" s="271"/>
      <c r="I603" s="268"/>
      <c r="J603" s="271"/>
      <c r="K603" s="271"/>
      <c r="L603" s="271"/>
      <c r="M603" s="271"/>
      <c r="N603" s="271"/>
      <c r="O603" s="271"/>
      <c r="P603" s="265">
        <v>570.5</v>
      </c>
      <c r="Q603" s="264">
        <v>1</v>
      </c>
      <c r="R603" s="264" t="s">
        <v>406</v>
      </c>
      <c r="S603" s="264">
        <v>2008</v>
      </c>
      <c r="T603" s="266" t="s">
        <v>163</v>
      </c>
      <c r="U603" s="267">
        <v>42653</v>
      </c>
      <c r="V603" s="269"/>
      <c r="W603" s="366">
        <f>COUNT(RawMaterials[[#This Row],[Lab Quantity 1]:[Lab Quantity 4]])</f>
        <v>0</v>
      </c>
      <c r="X60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3" s="367" t="e">
        <f>RawMaterials[[#This Row],[Lab Price 1]]/RawMaterials[[#This Row],[Lab Q Model Units 1]]</f>
        <v>#N/A</v>
      </c>
      <c r="AC603" s="367" t="e">
        <f>RawMaterials[[#This Row],[Lab Price 2]]/RawMaterials[[#This Row],[Lab Q Model Units 2]]</f>
        <v>#N/A</v>
      </c>
      <c r="AD603" s="367" t="e">
        <f>RawMaterials[[#This Row],[Lab Price 3]]/RawMaterials[[#This Row],[Lab Q Model Units 3]]</f>
        <v>#N/A</v>
      </c>
      <c r="AE603" s="367" t="e">
        <f>RawMaterials[[#This Row],[Lab Price 4]]/RawMaterials[[#This Row],[Lab Q Model Units 4]]</f>
        <v>#N/A</v>
      </c>
      <c r="AF603" s="367" t="str">
        <f ca="1">IF(RawMaterials[[#This Row],[Lab Quote Count]]&gt;1,SLOPE(LOG(INDIRECT("RawMaterials[@[Lab Unit P 1]:[Lab Unit P "&amp;RawMaterials[[#This Row],[Lab Quote Count]]&amp;"]]")),LOG(INDIRECT("RawMaterials[@[Lab Q Model Units 1]:[Lab Q Model Units "&amp;RawMaterials[[#This Row],[Lab Quote Count]]&amp;"]]"))),"")</f>
        <v/>
      </c>
      <c r="AG603" s="367" t="str">
        <f ca="1">IF(RawMaterials[[#This Row],[Lab Quote Count]]&gt;1,INTERCEPT(LOG(INDIRECT("RawMaterials[@[Lab Unit P 1]:[Lab Unit P "&amp;RawMaterials[[#This Row],[Lab Quote Count]]&amp;"]]")),LOG(INDIRECT("RawMaterials[@[Lab Q Model Units 1]:[Lab Q Model Units "&amp;RawMaterials[[#This Row],[Lab Quote Count]]&amp;"]]"))),"")</f>
        <v/>
      </c>
      <c r="AH603" s="368" t="str">
        <f>IF(RawMaterials[[#This Row],[Material Type]]="Metal Precursor","D13",IF(RawMaterials[[#This Row],[Material Type]]="Ligand","D13","D12"))</f>
        <v>D12</v>
      </c>
      <c r="AI603" s="369" t="str">
        <f ca="1">IF(RawMaterials[[#This Row],[Lab Quote Count]]&gt;1,10^RawMaterials[[#This Row],[Lab Log-Log Intercept]]*INDIRECT(RawMaterials[[#This Row],[Basis Cell]])^RawMaterials[[#This Row],[Lab Log-Log Slope]],"&gt;&gt;&gt; Enter 2 or more lab quotes &lt;&lt;&lt;")</f>
        <v>&gt;&gt;&gt; Enter 2 or more lab quotes &lt;&lt;&lt;</v>
      </c>
      <c r="AJ60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0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0.28525</v>
      </c>
      <c r="AL603" s="372">
        <f>IF(ISTEXT(RawMaterials[[#This Row],[Unit price in quote year]]),"Check calcs",RawMaterials[[#This Row],[Unit price in quote year]]/VLOOKUP(RawMaterials[[#This Row],[Quote Year]],ChemPPI[],14,FALSE)*VLOOKUP(BasisYear,ChemPPI[],14,FALSE))</f>
        <v>0.33386280810662772</v>
      </c>
      <c r="AM603" s="373" t="str">
        <f t="shared" si="9"/>
        <v>$/lb (2016)</v>
      </c>
    </row>
    <row r="604" spans="1:39">
      <c r="A604" s="263" t="s">
        <v>1698</v>
      </c>
      <c r="B604" s="264"/>
      <c r="C604" s="271"/>
      <c r="D604" s="365"/>
      <c r="E604" s="264">
        <v>100</v>
      </c>
      <c r="F604" s="264"/>
      <c r="G604" s="271"/>
      <c r="H604" s="271"/>
      <c r="I604" s="268"/>
      <c r="J604" s="271"/>
      <c r="K604" s="271"/>
      <c r="L604" s="271"/>
      <c r="M604" s="271"/>
      <c r="N604" s="271"/>
      <c r="O604" s="271"/>
      <c r="P604" s="265">
        <v>13.25</v>
      </c>
      <c r="Q604" s="264">
        <v>1</v>
      </c>
      <c r="R604" s="264" t="s">
        <v>71</v>
      </c>
      <c r="S604" s="264">
        <v>2006</v>
      </c>
      <c r="T604" s="266" t="s">
        <v>163</v>
      </c>
      <c r="U604" s="267">
        <v>42653</v>
      </c>
      <c r="V604" s="269"/>
      <c r="W604" s="366">
        <f>COUNT(RawMaterials[[#This Row],[Lab Quantity 1]:[Lab Quantity 4]])</f>
        <v>0</v>
      </c>
      <c r="X60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4" s="367" t="e">
        <f>RawMaterials[[#This Row],[Lab Price 1]]/RawMaterials[[#This Row],[Lab Q Model Units 1]]</f>
        <v>#N/A</v>
      </c>
      <c r="AC604" s="367" t="e">
        <f>RawMaterials[[#This Row],[Lab Price 2]]/RawMaterials[[#This Row],[Lab Q Model Units 2]]</f>
        <v>#N/A</v>
      </c>
      <c r="AD604" s="367" t="e">
        <f>RawMaterials[[#This Row],[Lab Price 3]]/RawMaterials[[#This Row],[Lab Q Model Units 3]]</f>
        <v>#N/A</v>
      </c>
      <c r="AE604" s="367" t="e">
        <f>RawMaterials[[#This Row],[Lab Price 4]]/RawMaterials[[#This Row],[Lab Q Model Units 4]]</f>
        <v>#N/A</v>
      </c>
      <c r="AF604" s="367" t="str">
        <f ca="1">IF(RawMaterials[[#This Row],[Lab Quote Count]]&gt;1,SLOPE(LOG(INDIRECT("RawMaterials[@[Lab Unit P 1]:[Lab Unit P "&amp;RawMaterials[[#This Row],[Lab Quote Count]]&amp;"]]")),LOG(INDIRECT("RawMaterials[@[Lab Q Model Units 1]:[Lab Q Model Units "&amp;RawMaterials[[#This Row],[Lab Quote Count]]&amp;"]]"))),"")</f>
        <v/>
      </c>
      <c r="AG604" s="367" t="str">
        <f ca="1">IF(RawMaterials[[#This Row],[Lab Quote Count]]&gt;1,INTERCEPT(LOG(INDIRECT("RawMaterials[@[Lab Unit P 1]:[Lab Unit P "&amp;RawMaterials[[#This Row],[Lab Quote Count]]&amp;"]]")),LOG(INDIRECT("RawMaterials[@[Lab Q Model Units 1]:[Lab Q Model Units "&amp;RawMaterials[[#This Row],[Lab Quote Count]]&amp;"]]"))),"")</f>
        <v/>
      </c>
      <c r="AH604" s="368" t="str">
        <f>IF(RawMaterials[[#This Row],[Material Type]]="Metal Precursor","D13",IF(RawMaterials[[#This Row],[Material Type]]="Ligand","D13","D12"))</f>
        <v>D12</v>
      </c>
      <c r="AI604" s="369" t="str">
        <f ca="1">IF(RawMaterials[[#This Row],[Lab Quote Count]]&gt;1,10^RawMaterials[[#This Row],[Lab Log-Log Intercept]]*INDIRECT(RawMaterials[[#This Row],[Basis Cell]])^RawMaterials[[#This Row],[Lab Log-Log Slope]],"&gt;&gt;&gt; Enter 2 or more lab quotes &lt;&lt;&lt;")</f>
        <v>&gt;&gt;&gt; Enter 2 or more lab quotes &lt;&lt;&lt;</v>
      </c>
      <c r="AJ60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6.0100989025000002</v>
      </c>
      <c r="AL604" s="372">
        <f>IF(ISTEXT(RawMaterials[[#This Row],[Unit price in quote year]]),"Check calcs",RawMaterials[[#This Row],[Unit price in quote year]]/VLOOKUP(RawMaterials[[#This Row],[Quote Year]],ChemPPI[],14,FALSE)*VLOOKUP(BasisYear,ChemPPI[],14,FALSE))</f>
        <v>8.1569990693991379</v>
      </c>
      <c r="AM604" s="373" t="str">
        <f t="shared" si="9"/>
        <v>$/lb (2016)</v>
      </c>
    </row>
    <row r="605" spans="1:39">
      <c r="A605" s="263" t="s">
        <v>1699</v>
      </c>
      <c r="B605" s="264"/>
      <c r="C605" s="271"/>
      <c r="D605" s="365"/>
      <c r="E605" s="264">
        <v>100</v>
      </c>
      <c r="F605" s="264"/>
      <c r="G605" s="271"/>
      <c r="H605" s="271"/>
      <c r="I605" s="268"/>
      <c r="J605" s="271"/>
      <c r="K605" s="271"/>
      <c r="L605" s="271"/>
      <c r="M605" s="271"/>
      <c r="N605" s="271"/>
      <c r="O605" s="271"/>
      <c r="P605" s="265">
        <v>8.3000000000000007</v>
      </c>
      <c r="Q605" s="264">
        <v>1</v>
      </c>
      <c r="R605" s="264" t="s">
        <v>20</v>
      </c>
      <c r="S605" s="264">
        <v>2006</v>
      </c>
      <c r="T605" s="266" t="s">
        <v>163</v>
      </c>
      <c r="U605" s="267">
        <v>42653</v>
      </c>
      <c r="V605" s="269"/>
      <c r="W605" s="366">
        <f>COUNT(RawMaterials[[#This Row],[Lab Quantity 1]:[Lab Quantity 4]])</f>
        <v>0</v>
      </c>
      <c r="X60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5" s="367" t="e">
        <f>RawMaterials[[#This Row],[Lab Price 1]]/RawMaterials[[#This Row],[Lab Q Model Units 1]]</f>
        <v>#N/A</v>
      </c>
      <c r="AC605" s="367" t="e">
        <f>RawMaterials[[#This Row],[Lab Price 2]]/RawMaterials[[#This Row],[Lab Q Model Units 2]]</f>
        <v>#N/A</v>
      </c>
      <c r="AD605" s="367" t="e">
        <f>RawMaterials[[#This Row],[Lab Price 3]]/RawMaterials[[#This Row],[Lab Q Model Units 3]]</f>
        <v>#N/A</v>
      </c>
      <c r="AE605" s="367" t="e">
        <f>RawMaterials[[#This Row],[Lab Price 4]]/RawMaterials[[#This Row],[Lab Q Model Units 4]]</f>
        <v>#N/A</v>
      </c>
      <c r="AF605" s="367" t="str">
        <f ca="1">IF(RawMaterials[[#This Row],[Lab Quote Count]]&gt;1,SLOPE(LOG(INDIRECT("RawMaterials[@[Lab Unit P 1]:[Lab Unit P "&amp;RawMaterials[[#This Row],[Lab Quote Count]]&amp;"]]")),LOG(INDIRECT("RawMaterials[@[Lab Q Model Units 1]:[Lab Q Model Units "&amp;RawMaterials[[#This Row],[Lab Quote Count]]&amp;"]]"))),"")</f>
        <v/>
      </c>
      <c r="AG605" s="367" t="str">
        <f ca="1">IF(RawMaterials[[#This Row],[Lab Quote Count]]&gt;1,INTERCEPT(LOG(INDIRECT("RawMaterials[@[Lab Unit P 1]:[Lab Unit P "&amp;RawMaterials[[#This Row],[Lab Quote Count]]&amp;"]]")),LOG(INDIRECT("RawMaterials[@[Lab Q Model Units 1]:[Lab Q Model Units "&amp;RawMaterials[[#This Row],[Lab Quote Count]]&amp;"]]"))),"")</f>
        <v/>
      </c>
      <c r="AH605" s="368" t="str">
        <f>IF(RawMaterials[[#This Row],[Material Type]]="Metal Precursor","D13",IF(RawMaterials[[#This Row],[Material Type]]="Ligand","D13","D12"))</f>
        <v>D12</v>
      </c>
      <c r="AI605" s="369" t="str">
        <f ca="1">IF(RawMaterials[[#This Row],[Lab Quote Count]]&gt;1,10^RawMaterials[[#This Row],[Lab Log-Log Intercept]]*INDIRECT(RawMaterials[[#This Row],[Basis Cell]])^RawMaterials[[#This Row],[Lab Log-Log Slope]],"&gt;&gt;&gt; Enter 2 or more lab quotes &lt;&lt;&lt;")</f>
        <v>&gt;&gt;&gt; Enter 2 or more lab quotes &lt;&lt;&lt;</v>
      </c>
      <c r="AJ60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8.3000000000000007</v>
      </c>
      <c r="AL605" s="372">
        <f>IF(ISTEXT(RawMaterials[[#This Row],[Unit price in quote year]]),"Check calcs",RawMaterials[[#This Row],[Unit price in quote year]]/VLOOKUP(RawMaterials[[#This Row],[Quote Year]],ChemPPI[],14,FALSE)*VLOOKUP(BasisYear,ChemPPI[],14,FALSE))</f>
        <v>11.264888211382116</v>
      </c>
      <c r="AM605" s="373" t="str">
        <f t="shared" si="9"/>
        <v>$/lb (2016)</v>
      </c>
    </row>
    <row r="606" spans="1:39">
      <c r="A606" s="263" t="s">
        <v>1700</v>
      </c>
      <c r="B606" s="264"/>
      <c r="C606" s="271"/>
      <c r="D606" s="365"/>
      <c r="E606" s="264">
        <v>100</v>
      </c>
      <c r="F606" s="264"/>
      <c r="G606" s="271"/>
      <c r="H606" s="271"/>
      <c r="I606" s="268"/>
      <c r="J606" s="271"/>
      <c r="K606" s="271"/>
      <c r="L606" s="271"/>
      <c r="M606" s="271"/>
      <c r="N606" s="271"/>
      <c r="O606" s="271"/>
      <c r="P606" s="265">
        <v>60</v>
      </c>
      <c r="Q606" s="264">
        <v>1</v>
      </c>
      <c r="R606" s="264" t="s">
        <v>71</v>
      </c>
      <c r="S606" s="264">
        <v>2006</v>
      </c>
      <c r="T606" s="266" t="s">
        <v>163</v>
      </c>
      <c r="U606" s="267">
        <v>42653</v>
      </c>
      <c r="V606" s="269"/>
      <c r="W606" s="366">
        <f>COUNT(RawMaterials[[#This Row],[Lab Quantity 1]:[Lab Quantity 4]])</f>
        <v>0</v>
      </c>
      <c r="X60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6" s="367" t="e">
        <f>RawMaterials[[#This Row],[Lab Price 1]]/RawMaterials[[#This Row],[Lab Q Model Units 1]]</f>
        <v>#N/A</v>
      </c>
      <c r="AC606" s="367" t="e">
        <f>RawMaterials[[#This Row],[Lab Price 2]]/RawMaterials[[#This Row],[Lab Q Model Units 2]]</f>
        <v>#N/A</v>
      </c>
      <c r="AD606" s="367" t="e">
        <f>RawMaterials[[#This Row],[Lab Price 3]]/RawMaterials[[#This Row],[Lab Q Model Units 3]]</f>
        <v>#N/A</v>
      </c>
      <c r="AE606" s="367" t="e">
        <f>RawMaterials[[#This Row],[Lab Price 4]]/RawMaterials[[#This Row],[Lab Q Model Units 4]]</f>
        <v>#N/A</v>
      </c>
      <c r="AF606" s="367" t="str">
        <f ca="1">IF(RawMaterials[[#This Row],[Lab Quote Count]]&gt;1,SLOPE(LOG(INDIRECT("RawMaterials[@[Lab Unit P 1]:[Lab Unit P "&amp;RawMaterials[[#This Row],[Lab Quote Count]]&amp;"]]")),LOG(INDIRECT("RawMaterials[@[Lab Q Model Units 1]:[Lab Q Model Units "&amp;RawMaterials[[#This Row],[Lab Quote Count]]&amp;"]]"))),"")</f>
        <v/>
      </c>
      <c r="AG606" s="367" t="str">
        <f ca="1">IF(RawMaterials[[#This Row],[Lab Quote Count]]&gt;1,INTERCEPT(LOG(INDIRECT("RawMaterials[@[Lab Unit P 1]:[Lab Unit P "&amp;RawMaterials[[#This Row],[Lab Quote Count]]&amp;"]]")),LOG(INDIRECT("RawMaterials[@[Lab Q Model Units 1]:[Lab Q Model Units "&amp;RawMaterials[[#This Row],[Lab Quote Count]]&amp;"]]"))),"")</f>
        <v/>
      </c>
      <c r="AH606" s="368" t="str">
        <f>IF(RawMaterials[[#This Row],[Material Type]]="Metal Precursor","D13",IF(RawMaterials[[#This Row],[Material Type]]="Ligand","D13","D12"))</f>
        <v>D12</v>
      </c>
      <c r="AI606" s="369" t="str">
        <f ca="1">IF(RawMaterials[[#This Row],[Lab Quote Count]]&gt;1,10^RawMaterials[[#This Row],[Lab Log-Log Intercept]]*INDIRECT(RawMaterials[[#This Row],[Basis Cell]])^RawMaterials[[#This Row],[Lab Log-Log Slope]],"&gt;&gt;&gt; Enter 2 or more lab quotes &lt;&lt;&lt;")</f>
        <v>&gt;&gt;&gt; Enter 2 or more lab quotes &lt;&lt;&lt;</v>
      </c>
      <c r="AJ60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6" s="372">
        <f>IF(ISTEXT(RawMaterials[[#This Row],[Unit price in quote year]]),"Check calcs",RawMaterials[[#This Row],[Unit price in quote year]]/VLOOKUP(RawMaterials[[#This Row],[Quote Year]],ChemPPI[],14,FALSE)*VLOOKUP(BasisYear,ChemPPI[],14,FALSE))</f>
        <v>36.937354276524403</v>
      </c>
      <c r="AM606" s="373" t="str">
        <f t="shared" si="9"/>
        <v>$/lb (2016)</v>
      </c>
    </row>
    <row r="607" spans="1:39">
      <c r="A607" s="263" t="s">
        <v>1701</v>
      </c>
      <c r="B607" s="264"/>
      <c r="C607" s="271"/>
      <c r="D607" s="365"/>
      <c r="E607" s="264">
        <v>100</v>
      </c>
      <c r="F607" s="264"/>
      <c r="G607" s="271"/>
      <c r="H607" s="271"/>
      <c r="I607" s="268"/>
      <c r="J607" s="271"/>
      <c r="K607" s="271"/>
      <c r="L607" s="271"/>
      <c r="M607" s="271"/>
      <c r="N607" s="271"/>
      <c r="O607" s="271"/>
      <c r="P607" s="265">
        <v>60</v>
      </c>
      <c r="Q607" s="264">
        <v>1</v>
      </c>
      <c r="R607" s="264" t="s">
        <v>71</v>
      </c>
      <c r="S607" s="264">
        <v>2006</v>
      </c>
      <c r="T607" s="266" t="s">
        <v>163</v>
      </c>
      <c r="U607" s="267">
        <v>42653</v>
      </c>
      <c r="V607" s="269"/>
      <c r="W607" s="366">
        <f>COUNT(RawMaterials[[#This Row],[Lab Quantity 1]:[Lab Quantity 4]])</f>
        <v>0</v>
      </c>
      <c r="X60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7" s="367" t="e">
        <f>RawMaterials[[#This Row],[Lab Price 1]]/RawMaterials[[#This Row],[Lab Q Model Units 1]]</f>
        <v>#N/A</v>
      </c>
      <c r="AC607" s="367" t="e">
        <f>RawMaterials[[#This Row],[Lab Price 2]]/RawMaterials[[#This Row],[Lab Q Model Units 2]]</f>
        <v>#N/A</v>
      </c>
      <c r="AD607" s="367" t="e">
        <f>RawMaterials[[#This Row],[Lab Price 3]]/RawMaterials[[#This Row],[Lab Q Model Units 3]]</f>
        <v>#N/A</v>
      </c>
      <c r="AE607" s="367" t="e">
        <f>RawMaterials[[#This Row],[Lab Price 4]]/RawMaterials[[#This Row],[Lab Q Model Units 4]]</f>
        <v>#N/A</v>
      </c>
      <c r="AF607" s="367" t="str">
        <f ca="1">IF(RawMaterials[[#This Row],[Lab Quote Count]]&gt;1,SLOPE(LOG(INDIRECT("RawMaterials[@[Lab Unit P 1]:[Lab Unit P "&amp;RawMaterials[[#This Row],[Lab Quote Count]]&amp;"]]")),LOG(INDIRECT("RawMaterials[@[Lab Q Model Units 1]:[Lab Q Model Units "&amp;RawMaterials[[#This Row],[Lab Quote Count]]&amp;"]]"))),"")</f>
        <v/>
      </c>
      <c r="AG607" s="367" t="str">
        <f ca="1">IF(RawMaterials[[#This Row],[Lab Quote Count]]&gt;1,INTERCEPT(LOG(INDIRECT("RawMaterials[@[Lab Unit P 1]:[Lab Unit P "&amp;RawMaterials[[#This Row],[Lab Quote Count]]&amp;"]]")),LOG(INDIRECT("RawMaterials[@[Lab Q Model Units 1]:[Lab Q Model Units "&amp;RawMaterials[[#This Row],[Lab Quote Count]]&amp;"]]"))),"")</f>
        <v/>
      </c>
      <c r="AH607" s="368" t="str">
        <f>IF(RawMaterials[[#This Row],[Material Type]]="Metal Precursor","D13",IF(RawMaterials[[#This Row],[Material Type]]="Ligand","D13","D12"))</f>
        <v>D12</v>
      </c>
      <c r="AI607" s="369" t="str">
        <f ca="1">IF(RawMaterials[[#This Row],[Lab Quote Count]]&gt;1,10^RawMaterials[[#This Row],[Lab Log-Log Intercept]]*INDIRECT(RawMaterials[[#This Row],[Basis Cell]])^RawMaterials[[#This Row],[Lab Log-Log Slope]],"&gt;&gt;&gt; Enter 2 or more lab quotes &lt;&lt;&lt;")</f>
        <v>&gt;&gt;&gt; Enter 2 or more lab quotes &lt;&lt;&lt;</v>
      </c>
      <c r="AJ60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2.2046226218487757</v>
      </c>
      <c r="AK60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27.215542200000002</v>
      </c>
      <c r="AL607" s="372">
        <f>IF(ISTEXT(RawMaterials[[#This Row],[Unit price in quote year]]),"Check calcs",RawMaterials[[#This Row],[Unit price in quote year]]/VLOOKUP(RawMaterials[[#This Row],[Quote Year]],ChemPPI[],14,FALSE)*VLOOKUP(BasisYear,ChemPPI[],14,FALSE))</f>
        <v>36.937354276524403</v>
      </c>
      <c r="AM607" s="373" t="str">
        <f t="shared" si="9"/>
        <v>$/lb (2016)</v>
      </c>
    </row>
    <row r="608" spans="1:39">
      <c r="A608" s="263" t="s">
        <v>1702</v>
      </c>
      <c r="B608" s="264"/>
      <c r="C608" s="266"/>
      <c r="D608" s="264"/>
      <c r="E608" s="264">
        <v>100</v>
      </c>
      <c r="F608" s="264"/>
      <c r="G608" s="266"/>
      <c r="H608" s="266"/>
      <c r="I608" s="268"/>
      <c r="J608" s="266"/>
      <c r="K608" s="266"/>
      <c r="L608" s="266"/>
      <c r="M608" s="266"/>
      <c r="N608" s="266"/>
      <c r="O608" s="266"/>
      <c r="P608" s="265">
        <v>0.67500000000000004</v>
      </c>
      <c r="Q608" s="264">
        <v>1</v>
      </c>
      <c r="R608" s="264" t="s">
        <v>20</v>
      </c>
      <c r="S608" s="264">
        <v>2008</v>
      </c>
      <c r="T608" s="266" t="s">
        <v>163</v>
      </c>
      <c r="U608" s="267">
        <v>42653</v>
      </c>
      <c r="V608" s="269"/>
      <c r="W608" s="366">
        <f>COUNT(RawMaterials[[#This Row],[Lab Quantity 1]:[Lab Quantity 4]])</f>
        <v>0</v>
      </c>
      <c r="X60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8" s="367" t="e">
        <f>RawMaterials[[#This Row],[Lab Price 1]]/RawMaterials[[#This Row],[Lab Q Model Units 1]]</f>
        <v>#N/A</v>
      </c>
      <c r="AC608" s="367" t="e">
        <f>RawMaterials[[#This Row],[Lab Price 2]]/RawMaterials[[#This Row],[Lab Q Model Units 2]]</f>
        <v>#N/A</v>
      </c>
      <c r="AD608" s="367" t="e">
        <f>RawMaterials[[#This Row],[Lab Price 3]]/RawMaterials[[#This Row],[Lab Q Model Units 3]]</f>
        <v>#N/A</v>
      </c>
      <c r="AE608" s="367" t="e">
        <f>RawMaterials[[#This Row],[Lab Price 4]]/RawMaterials[[#This Row],[Lab Q Model Units 4]]</f>
        <v>#N/A</v>
      </c>
      <c r="AF608" s="367" t="str">
        <f ca="1">IF(RawMaterials[[#This Row],[Lab Quote Count]]&gt;1,SLOPE(LOG(INDIRECT("RawMaterials[@[Lab Unit P 1]:[Lab Unit P "&amp;RawMaterials[[#This Row],[Lab Quote Count]]&amp;"]]")),LOG(INDIRECT("RawMaterials[@[Lab Q Model Units 1]:[Lab Q Model Units "&amp;RawMaterials[[#This Row],[Lab Quote Count]]&amp;"]]"))),"")</f>
        <v/>
      </c>
      <c r="AG608" s="367" t="str">
        <f ca="1">IF(RawMaterials[[#This Row],[Lab Quote Count]]&gt;1,INTERCEPT(LOG(INDIRECT("RawMaterials[@[Lab Unit P 1]:[Lab Unit P "&amp;RawMaterials[[#This Row],[Lab Quote Count]]&amp;"]]")),LOG(INDIRECT("RawMaterials[@[Lab Q Model Units 1]:[Lab Q Model Units "&amp;RawMaterials[[#This Row],[Lab Quote Count]]&amp;"]]"))),"")</f>
        <v/>
      </c>
      <c r="AH608" s="368" t="str">
        <f>IF(RawMaterials[[#This Row],[Material Type]]="Metal Precursor","D13",IF(RawMaterials[[#This Row],[Material Type]]="Ligand","D13","D12"))</f>
        <v>D12</v>
      </c>
      <c r="AI608" s="369" t="str">
        <f ca="1">IF(RawMaterials[[#This Row],[Lab Quote Count]]&gt;1,10^RawMaterials[[#This Row],[Lab Log-Log Intercept]]*INDIRECT(RawMaterials[[#This Row],[Basis Cell]])^RawMaterials[[#This Row],[Lab Log-Log Slope]],"&gt;&gt;&gt; Enter 2 or more lab quotes &lt;&lt;&lt;")</f>
        <v>&gt;&gt;&gt; Enter 2 or more lab quotes &lt;&lt;&lt;</v>
      </c>
      <c r="AJ608" s="367">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8" s="371">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0.67500000000000004</v>
      </c>
      <c r="AL608" s="371">
        <f>IF(ISTEXT(RawMaterials[[#This Row],[Unit price in quote year]]),"Check calcs",RawMaterials[[#This Row],[Unit price in quote year]]/VLOOKUP(RawMaterials[[#This Row],[Quote Year]],ChemPPI[],14,FALSE)*VLOOKUP(BasisYear,ChemPPI[],14,FALSE))</f>
        <v>0.79003469052400965</v>
      </c>
      <c r="AM608" s="368" t="str">
        <f t="shared" si="9"/>
        <v>$/lb (2016)</v>
      </c>
    </row>
    <row r="609" spans="1:39">
      <c r="A609" s="270" t="s">
        <v>1703</v>
      </c>
      <c r="B609" s="272"/>
      <c r="C609" s="273"/>
      <c r="D609" s="272"/>
      <c r="E609" s="272">
        <v>100</v>
      </c>
      <c r="F609" s="272"/>
      <c r="G609" s="273"/>
      <c r="H609" s="273"/>
      <c r="I609" s="384"/>
      <c r="J609" s="273"/>
      <c r="K609" s="273"/>
      <c r="L609" s="273"/>
      <c r="M609" s="273"/>
      <c r="N609" s="273"/>
      <c r="O609" s="273"/>
      <c r="P609" s="364">
        <v>0.57499999999999996</v>
      </c>
      <c r="Q609" s="264">
        <v>1</v>
      </c>
      <c r="R609" s="272" t="s">
        <v>20</v>
      </c>
      <c r="S609" s="272">
        <v>2008</v>
      </c>
      <c r="T609" s="273" t="s">
        <v>163</v>
      </c>
      <c r="U609" s="267">
        <v>42653</v>
      </c>
      <c r="V609" s="269"/>
      <c r="W609" s="366">
        <f>COUNT(RawMaterials[[#This Row],[Lab Quantity 1]:[Lab Quantity 4]])</f>
        <v>0</v>
      </c>
      <c r="X60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0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0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0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09" s="367" t="e">
        <f>RawMaterials[[#This Row],[Lab Price 1]]/RawMaterials[[#This Row],[Lab Q Model Units 1]]</f>
        <v>#N/A</v>
      </c>
      <c r="AC609" s="367" t="e">
        <f>RawMaterials[[#This Row],[Lab Price 2]]/RawMaterials[[#This Row],[Lab Q Model Units 2]]</f>
        <v>#N/A</v>
      </c>
      <c r="AD609" s="367" t="e">
        <f>RawMaterials[[#This Row],[Lab Price 3]]/RawMaterials[[#This Row],[Lab Q Model Units 3]]</f>
        <v>#N/A</v>
      </c>
      <c r="AE609" s="367" t="e">
        <f>RawMaterials[[#This Row],[Lab Price 4]]/RawMaterials[[#This Row],[Lab Q Model Units 4]]</f>
        <v>#N/A</v>
      </c>
      <c r="AF609" s="367" t="str">
        <f ca="1">IF(RawMaterials[[#This Row],[Lab Quote Count]]&gt;1,SLOPE(LOG(INDIRECT("RawMaterials[@[Lab Unit P 1]:[Lab Unit P "&amp;RawMaterials[[#This Row],[Lab Quote Count]]&amp;"]]")),LOG(INDIRECT("RawMaterials[@[Lab Q Model Units 1]:[Lab Q Model Units "&amp;RawMaterials[[#This Row],[Lab Quote Count]]&amp;"]]"))),"")</f>
        <v/>
      </c>
      <c r="AG609" s="367" t="str">
        <f ca="1">IF(RawMaterials[[#This Row],[Lab Quote Count]]&gt;1,INTERCEPT(LOG(INDIRECT("RawMaterials[@[Lab Unit P 1]:[Lab Unit P "&amp;RawMaterials[[#This Row],[Lab Quote Count]]&amp;"]]")),LOG(INDIRECT("RawMaterials[@[Lab Q Model Units 1]:[Lab Q Model Units "&amp;RawMaterials[[#This Row],[Lab Quote Count]]&amp;"]]"))),"")</f>
        <v/>
      </c>
      <c r="AH609" s="368" t="str">
        <f>IF(RawMaterials[[#This Row],[Material Type]]="Metal Precursor","D13",IF(RawMaterials[[#This Row],[Material Type]]="Ligand","D13","D12"))</f>
        <v>D12</v>
      </c>
      <c r="AI609" s="369" t="str">
        <f ca="1">IF(RawMaterials[[#This Row],[Lab Quote Count]]&gt;1,10^RawMaterials[[#This Row],[Lab Log-Log Intercept]]*INDIRECT(RawMaterials[[#This Row],[Basis Cell]])^RawMaterials[[#This Row],[Lab Log-Log Slope]],"&gt;&gt;&gt; Enter 2 or more lab quotes &lt;&lt;&lt;")</f>
        <v>&gt;&gt;&gt; Enter 2 or more lab quotes &lt;&lt;&lt;</v>
      </c>
      <c r="AJ60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0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0.57499999999999996</v>
      </c>
      <c r="AL609" s="372">
        <f>IF(ISTEXT(RawMaterials[[#This Row],[Unit price in quote year]]),"Check calcs",RawMaterials[[#This Row],[Unit price in quote year]]/VLOOKUP(RawMaterials[[#This Row],[Quote Year]],ChemPPI[],14,FALSE)*VLOOKUP(BasisYear,ChemPPI[],14,FALSE))</f>
        <v>0.67299251415008221</v>
      </c>
      <c r="AM609" s="373" t="str">
        <f t="shared" si="9"/>
        <v>$/lb (2016)</v>
      </c>
    </row>
    <row r="610" spans="1:39">
      <c r="A610" s="270" t="s">
        <v>1704</v>
      </c>
      <c r="B610" s="272"/>
      <c r="C610" s="273"/>
      <c r="D610" s="272"/>
      <c r="E610" s="272">
        <v>100</v>
      </c>
      <c r="F610" s="272"/>
      <c r="G610" s="273"/>
      <c r="H610" s="273"/>
      <c r="I610" s="384"/>
      <c r="J610" s="273"/>
      <c r="K610" s="273"/>
      <c r="L610" s="273"/>
      <c r="M610" s="273"/>
      <c r="N610" s="273"/>
      <c r="O610" s="273"/>
      <c r="P610" s="364">
        <v>0.33999999999999903</v>
      </c>
      <c r="Q610" s="264">
        <v>1</v>
      </c>
      <c r="R610" s="272" t="s">
        <v>20</v>
      </c>
      <c r="S610" s="272">
        <v>2008</v>
      </c>
      <c r="T610" s="273" t="s">
        <v>163</v>
      </c>
      <c r="U610" s="267">
        <v>42653</v>
      </c>
      <c r="V610" s="269"/>
      <c r="W610" s="366">
        <f>COUNT(RawMaterials[[#This Row],[Lab Quantity 1]:[Lab Quantity 4]])</f>
        <v>0</v>
      </c>
      <c r="X61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0" s="367" t="e">
        <f>RawMaterials[[#This Row],[Lab Price 1]]/RawMaterials[[#This Row],[Lab Q Model Units 1]]</f>
        <v>#N/A</v>
      </c>
      <c r="AC610" s="367" t="e">
        <f>RawMaterials[[#This Row],[Lab Price 2]]/RawMaterials[[#This Row],[Lab Q Model Units 2]]</f>
        <v>#N/A</v>
      </c>
      <c r="AD610" s="367" t="e">
        <f>RawMaterials[[#This Row],[Lab Price 3]]/RawMaterials[[#This Row],[Lab Q Model Units 3]]</f>
        <v>#N/A</v>
      </c>
      <c r="AE610" s="367" t="e">
        <f>RawMaterials[[#This Row],[Lab Price 4]]/RawMaterials[[#This Row],[Lab Q Model Units 4]]</f>
        <v>#N/A</v>
      </c>
      <c r="AF610" s="367" t="str">
        <f ca="1">IF(RawMaterials[[#This Row],[Lab Quote Count]]&gt;1,SLOPE(LOG(INDIRECT("RawMaterials[@[Lab Unit P 1]:[Lab Unit P "&amp;RawMaterials[[#This Row],[Lab Quote Count]]&amp;"]]")),LOG(INDIRECT("RawMaterials[@[Lab Q Model Units 1]:[Lab Q Model Units "&amp;RawMaterials[[#This Row],[Lab Quote Count]]&amp;"]]"))),"")</f>
        <v/>
      </c>
      <c r="AG610" s="367" t="str">
        <f ca="1">IF(RawMaterials[[#This Row],[Lab Quote Count]]&gt;1,INTERCEPT(LOG(INDIRECT("RawMaterials[@[Lab Unit P 1]:[Lab Unit P "&amp;RawMaterials[[#This Row],[Lab Quote Count]]&amp;"]]")),LOG(INDIRECT("RawMaterials[@[Lab Q Model Units 1]:[Lab Q Model Units "&amp;RawMaterials[[#This Row],[Lab Quote Count]]&amp;"]]"))),"")</f>
        <v/>
      </c>
      <c r="AH610" s="368" t="str">
        <f>IF(RawMaterials[[#This Row],[Material Type]]="Metal Precursor","D13",IF(RawMaterials[[#This Row],[Material Type]]="Ligand","D13","D12"))</f>
        <v>D12</v>
      </c>
      <c r="AI610" s="369" t="str">
        <f ca="1">IF(RawMaterials[[#This Row],[Lab Quote Count]]&gt;1,10^RawMaterials[[#This Row],[Lab Log-Log Intercept]]*INDIRECT(RawMaterials[[#This Row],[Basis Cell]])^RawMaterials[[#This Row],[Lab Log-Log Slope]],"&gt;&gt;&gt; Enter 2 or more lab quotes &lt;&lt;&lt;")</f>
        <v>&gt;&gt;&gt; Enter 2 or more lab quotes &lt;&lt;&lt;</v>
      </c>
      <c r="AJ61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0.33999999999999903</v>
      </c>
      <c r="AL610" s="372">
        <f>IF(ISTEXT(RawMaterials[[#This Row],[Unit price in quote year]]),"Check calcs",RawMaterials[[#This Row],[Unit price in quote year]]/VLOOKUP(RawMaterials[[#This Row],[Quote Year]],ChemPPI[],14,FALSE)*VLOOKUP(BasisYear,ChemPPI[],14,FALSE))</f>
        <v>0.39794339967135178</v>
      </c>
      <c r="AM610" s="373" t="str">
        <f t="shared" si="9"/>
        <v>$/lb (2016)</v>
      </c>
    </row>
    <row r="611" spans="1:39">
      <c r="A611" s="270" t="s">
        <v>1705</v>
      </c>
      <c r="B611" s="272"/>
      <c r="C611" s="273"/>
      <c r="D611" s="272">
        <v>0.93</v>
      </c>
      <c r="E611" s="272">
        <v>100</v>
      </c>
      <c r="F611" s="272"/>
      <c r="G611" s="273"/>
      <c r="H611" s="273"/>
      <c r="I611" s="384"/>
      <c r="J611" s="273"/>
      <c r="K611" s="273"/>
      <c r="L611" s="273"/>
      <c r="M611" s="273"/>
      <c r="N611" s="273"/>
      <c r="O611" s="273"/>
      <c r="P611" s="364">
        <v>26</v>
      </c>
      <c r="Q611" s="264">
        <v>1</v>
      </c>
      <c r="R611" s="272" t="s">
        <v>85</v>
      </c>
      <c r="S611" s="272">
        <v>2006</v>
      </c>
      <c r="T611" s="273" t="s">
        <v>163</v>
      </c>
      <c r="U611" s="267">
        <v>42653</v>
      </c>
      <c r="V611" s="269"/>
      <c r="W611" s="366">
        <f>COUNT(RawMaterials[[#This Row],[Lab Quantity 1]:[Lab Quantity 4]])</f>
        <v>0</v>
      </c>
      <c r="X61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1" s="367" t="e">
        <f>RawMaterials[[#This Row],[Lab Price 1]]/RawMaterials[[#This Row],[Lab Q Model Units 1]]</f>
        <v>#N/A</v>
      </c>
      <c r="AC611" s="367" t="e">
        <f>RawMaterials[[#This Row],[Lab Price 2]]/RawMaterials[[#This Row],[Lab Q Model Units 2]]</f>
        <v>#N/A</v>
      </c>
      <c r="AD611" s="367" t="e">
        <f>RawMaterials[[#This Row],[Lab Price 3]]/RawMaterials[[#This Row],[Lab Q Model Units 3]]</f>
        <v>#N/A</v>
      </c>
      <c r="AE611" s="367" t="e">
        <f>RawMaterials[[#This Row],[Lab Price 4]]/RawMaterials[[#This Row],[Lab Q Model Units 4]]</f>
        <v>#N/A</v>
      </c>
      <c r="AF611" s="367" t="str">
        <f ca="1">IF(RawMaterials[[#This Row],[Lab Quote Count]]&gt;1,SLOPE(LOG(INDIRECT("RawMaterials[@[Lab Unit P 1]:[Lab Unit P "&amp;RawMaterials[[#This Row],[Lab Quote Count]]&amp;"]]")),LOG(INDIRECT("RawMaterials[@[Lab Q Model Units 1]:[Lab Q Model Units "&amp;RawMaterials[[#This Row],[Lab Quote Count]]&amp;"]]"))),"")</f>
        <v/>
      </c>
      <c r="AG611" s="367" t="str">
        <f ca="1">IF(RawMaterials[[#This Row],[Lab Quote Count]]&gt;1,INTERCEPT(LOG(INDIRECT("RawMaterials[@[Lab Unit P 1]:[Lab Unit P "&amp;RawMaterials[[#This Row],[Lab Quote Count]]&amp;"]]")),LOG(INDIRECT("RawMaterials[@[Lab Q Model Units 1]:[Lab Q Model Units "&amp;RawMaterials[[#This Row],[Lab Quote Count]]&amp;"]]"))),"")</f>
        <v/>
      </c>
      <c r="AH611" s="368" t="str">
        <f>IF(RawMaterials[[#This Row],[Material Type]]="Metal Precursor","D13",IF(RawMaterials[[#This Row],[Material Type]]="Ligand","D13","D12"))</f>
        <v>D12</v>
      </c>
      <c r="AI611" s="369" t="str">
        <f ca="1">IF(RawMaterials[[#This Row],[Lab Quote Count]]&gt;1,10^RawMaterials[[#This Row],[Lab Log-Log Intercept]]*INDIRECT(RawMaterials[[#This Row],[Basis Cell]])^RawMaterials[[#This Row],[Lab Log-Log Slope]],"&gt;&gt;&gt; Enter 2 or more lab quotes &lt;&lt;&lt;")</f>
        <v>&gt;&gt;&gt; Enter 2 or more lab quotes &lt;&lt;&lt;</v>
      </c>
      <c r="AJ61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7.7612261403779783</v>
      </c>
      <c r="AK61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3.3499861400422715</v>
      </c>
      <c r="AL611" s="372">
        <f>IF(ISTEXT(RawMaterials[[#This Row],[Unit price in quote year]]),"Check calcs",RawMaterials[[#This Row],[Unit price in quote year]]/VLOOKUP(RawMaterials[[#This Row],[Quote Year]],ChemPPI[],14,FALSE)*VLOOKUP(BasisYear,ChemPPI[],14,FALSE))</f>
        <v>4.5466529370187549</v>
      </c>
      <c r="AM611" s="373" t="str">
        <f t="shared" si="9"/>
        <v>$/lb (2016)</v>
      </c>
    </row>
    <row r="612" spans="1:39">
      <c r="A612" s="270" t="s">
        <v>1706</v>
      </c>
      <c r="B612" s="272"/>
      <c r="C612" s="273"/>
      <c r="D612" s="272"/>
      <c r="E612" s="272">
        <v>100</v>
      </c>
      <c r="F612" s="272"/>
      <c r="G612" s="273"/>
      <c r="H612" s="273"/>
      <c r="I612" s="384"/>
      <c r="J612" s="273"/>
      <c r="K612" s="273"/>
      <c r="L612" s="273"/>
      <c r="M612" s="273"/>
      <c r="N612" s="273"/>
      <c r="O612" s="273"/>
      <c r="P612" s="364">
        <v>5</v>
      </c>
      <c r="Q612" s="264">
        <v>1</v>
      </c>
      <c r="R612" s="272" t="s">
        <v>20</v>
      </c>
      <c r="S612" s="272">
        <v>2006</v>
      </c>
      <c r="T612" s="273" t="s">
        <v>163</v>
      </c>
      <c r="U612" s="267">
        <v>42653</v>
      </c>
      <c r="V612" s="269"/>
      <c r="W612" s="366">
        <f>COUNT(RawMaterials[[#This Row],[Lab Quantity 1]:[Lab Quantity 4]])</f>
        <v>0</v>
      </c>
      <c r="X612"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2"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2"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2"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2" s="367" t="e">
        <f>RawMaterials[[#This Row],[Lab Price 1]]/RawMaterials[[#This Row],[Lab Q Model Units 1]]</f>
        <v>#N/A</v>
      </c>
      <c r="AC612" s="367" t="e">
        <f>RawMaterials[[#This Row],[Lab Price 2]]/RawMaterials[[#This Row],[Lab Q Model Units 2]]</f>
        <v>#N/A</v>
      </c>
      <c r="AD612" s="367" t="e">
        <f>RawMaterials[[#This Row],[Lab Price 3]]/RawMaterials[[#This Row],[Lab Q Model Units 3]]</f>
        <v>#N/A</v>
      </c>
      <c r="AE612" s="367" t="e">
        <f>RawMaterials[[#This Row],[Lab Price 4]]/RawMaterials[[#This Row],[Lab Q Model Units 4]]</f>
        <v>#N/A</v>
      </c>
      <c r="AF612" s="367" t="str">
        <f ca="1">IF(RawMaterials[[#This Row],[Lab Quote Count]]&gt;1,SLOPE(LOG(INDIRECT("RawMaterials[@[Lab Unit P 1]:[Lab Unit P "&amp;RawMaterials[[#This Row],[Lab Quote Count]]&amp;"]]")),LOG(INDIRECT("RawMaterials[@[Lab Q Model Units 1]:[Lab Q Model Units "&amp;RawMaterials[[#This Row],[Lab Quote Count]]&amp;"]]"))),"")</f>
        <v/>
      </c>
      <c r="AG612" s="367" t="str">
        <f ca="1">IF(RawMaterials[[#This Row],[Lab Quote Count]]&gt;1,INTERCEPT(LOG(INDIRECT("RawMaterials[@[Lab Unit P 1]:[Lab Unit P "&amp;RawMaterials[[#This Row],[Lab Quote Count]]&amp;"]]")),LOG(INDIRECT("RawMaterials[@[Lab Q Model Units 1]:[Lab Q Model Units "&amp;RawMaterials[[#This Row],[Lab Quote Count]]&amp;"]]"))),"")</f>
        <v/>
      </c>
      <c r="AH612" s="368" t="str">
        <f>IF(RawMaterials[[#This Row],[Material Type]]="Metal Precursor","D13",IF(RawMaterials[[#This Row],[Material Type]]="Ligand","D13","D12"))</f>
        <v>D12</v>
      </c>
      <c r="AI612" s="369" t="str">
        <f ca="1">IF(RawMaterials[[#This Row],[Lab Quote Count]]&gt;1,10^RawMaterials[[#This Row],[Lab Log-Log Intercept]]*INDIRECT(RawMaterials[[#This Row],[Basis Cell]])^RawMaterials[[#This Row],[Lab Log-Log Slope]],"&gt;&gt;&gt; Enter 2 or more lab quotes &lt;&lt;&lt;")</f>
        <v>&gt;&gt;&gt; Enter 2 or more lab quotes &lt;&lt;&lt;</v>
      </c>
      <c r="AJ612"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2"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2" s="372">
        <f>IF(ISTEXT(RawMaterials[[#This Row],[Unit price in quote year]]),"Check calcs",RawMaterials[[#This Row],[Unit price in quote year]]/VLOOKUP(RawMaterials[[#This Row],[Quote Year]],ChemPPI[],14,FALSE)*VLOOKUP(BasisYear,ChemPPI[],14,FALSE))</f>
        <v>6.7860772357723587</v>
      </c>
      <c r="AM612" s="373" t="str">
        <f t="shared" si="9"/>
        <v>$/lb (2016)</v>
      </c>
    </row>
    <row r="613" spans="1:39">
      <c r="A613" s="270" t="s">
        <v>1707</v>
      </c>
      <c r="B613" s="272"/>
      <c r="C613" s="273"/>
      <c r="D613" s="272"/>
      <c r="E613" s="272">
        <v>100</v>
      </c>
      <c r="F613" s="272"/>
      <c r="G613" s="273"/>
      <c r="H613" s="273"/>
      <c r="I613" s="384"/>
      <c r="J613" s="273"/>
      <c r="K613" s="273"/>
      <c r="L613" s="273"/>
      <c r="M613" s="273"/>
      <c r="N613" s="273"/>
      <c r="O613" s="273"/>
      <c r="P613" s="364">
        <v>5</v>
      </c>
      <c r="Q613" s="264">
        <v>1</v>
      </c>
      <c r="R613" s="272" t="s">
        <v>20</v>
      </c>
      <c r="S613" s="272">
        <v>2006</v>
      </c>
      <c r="T613" s="273" t="s">
        <v>163</v>
      </c>
      <c r="U613" s="274">
        <v>42653</v>
      </c>
      <c r="V613" s="269"/>
      <c r="W613" s="366">
        <f>COUNT(RawMaterials[[#This Row],[Lab Quantity 1]:[Lab Quantity 4]])</f>
        <v>0</v>
      </c>
      <c r="X613"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3"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3"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3"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3" s="367" t="e">
        <f>RawMaterials[[#This Row],[Lab Price 1]]/RawMaterials[[#This Row],[Lab Q Model Units 1]]</f>
        <v>#N/A</v>
      </c>
      <c r="AC613" s="367" t="e">
        <f>RawMaterials[[#This Row],[Lab Price 2]]/RawMaterials[[#This Row],[Lab Q Model Units 2]]</f>
        <v>#N/A</v>
      </c>
      <c r="AD613" s="367" t="e">
        <f>RawMaterials[[#This Row],[Lab Price 3]]/RawMaterials[[#This Row],[Lab Q Model Units 3]]</f>
        <v>#N/A</v>
      </c>
      <c r="AE613" s="367" t="e">
        <f>RawMaterials[[#This Row],[Lab Price 4]]/RawMaterials[[#This Row],[Lab Q Model Units 4]]</f>
        <v>#N/A</v>
      </c>
      <c r="AF613" s="367" t="str">
        <f ca="1">IF(RawMaterials[[#This Row],[Lab Quote Count]]&gt;1,SLOPE(LOG(INDIRECT("RawMaterials[@[Lab Unit P 1]:[Lab Unit P "&amp;RawMaterials[[#This Row],[Lab Quote Count]]&amp;"]]")),LOG(INDIRECT("RawMaterials[@[Lab Q Model Units 1]:[Lab Q Model Units "&amp;RawMaterials[[#This Row],[Lab Quote Count]]&amp;"]]"))),"")</f>
        <v/>
      </c>
      <c r="AG613" s="367" t="str">
        <f ca="1">IF(RawMaterials[[#This Row],[Lab Quote Count]]&gt;1,INTERCEPT(LOG(INDIRECT("RawMaterials[@[Lab Unit P 1]:[Lab Unit P "&amp;RawMaterials[[#This Row],[Lab Quote Count]]&amp;"]]")),LOG(INDIRECT("RawMaterials[@[Lab Q Model Units 1]:[Lab Q Model Units "&amp;RawMaterials[[#This Row],[Lab Quote Count]]&amp;"]]"))),"")</f>
        <v/>
      </c>
      <c r="AH613" s="368" t="str">
        <f>IF(RawMaterials[[#This Row],[Material Type]]="Metal Precursor","D13",IF(RawMaterials[[#This Row],[Material Type]]="Ligand","D13","D12"))</f>
        <v>D12</v>
      </c>
      <c r="AI613" s="369" t="str">
        <f ca="1">IF(RawMaterials[[#This Row],[Lab Quote Count]]&gt;1,10^RawMaterials[[#This Row],[Lab Log-Log Intercept]]*INDIRECT(RawMaterials[[#This Row],[Basis Cell]])^RawMaterials[[#This Row],[Lab Log-Log Slope]],"&gt;&gt;&gt; Enter 2 or more lab quotes &lt;&lt;&lt;")</f>
        <v>&gt;&gt;&gt; Enter 2 or more lab quotes &lt;&lt;&lt;</v>
      </c>
      <c r="AJ613"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3"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5</v>
      </c>
      <c r="AL613" s="372">
        <f>IF(ISTEXT(RawMaterials[[#This Row],[Unit price in quote year]]),"Check calcs",RawMaterials[[#This Row],[Unit price in quote year]]/VLOOKUP(RawMaterials[[#This Row],[Quote Year]],ChemPPI[],14,FALSE)*VLOOKUP(BasisYear,ChemPPI[],14,FALSE))</f>
        <v>6.7860772357723587</v>
      </c>
      <c r="AM613" s="373" t="str">
        <f t="shared" si="9"/>
        <v>$/lb (2016)</v>
      </c>
    </row>
    <row r="614" spans="1:39">
      <c r="A614" s="270" t="s">
        <v>1708</v>
      </c>
      <c r="B614" s="272"/>
      <c r="C614" s="273"/>
      <c r="D614" s="272">
        <v>0.86399999999999999</v>
      </c>
      <c r="E614" s="272">
        <v>100</v>
      </c>
      <c r="F614" s="272"/>
      <c r="G614" s="273"/>
      <c r="H614" s="273"/>
      <c r="I614" s="384"/>
      <c r="J614" s="273"/>
      <c r="K614" s="273"/>
      <c r="L614" s="273"/>
      <c r="M614" s="273"/>
      <c r="N614" s="273"/>
      <c r="O614" s="273"/>
      <c r="P614" s="364">
        <v>3.51</v>
      </c>
      <c r="Q614" s="264">
        <v>1</v>
      </c>
      <c r="R614" s="272" t="s">
        <v>85</v>
      </c>
      <c r="S614" s="272">
        <v>2008</v>
      </c>
      <c r="T614" s="273" t="s">
        <v>163</v>
      </c>
      <c r="U614" s="267">
        <v>42653</v>
      </c>
      <c r="V614" s="269"/>
      <c r="W614" s="366">
        <f>COUNT(RawMaterials[[#This Row],[Lab Quantity 1]:[Lab Quantity 4]])</f>
        <v>0</v>
      </c>
      <c r="X614"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4"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4"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4"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4" s="367" t="e">
        <f>RawMaterials[[#This Row],[Lab Price 1]]/RawMaterials[[#This Row],[Lab Q Model Units 1]]</f>
        <v>#N/A</v>
      </c>
      <c r="AC614" s="367" t="e">
        <f>RawMaterials[[#This Row],[Lab Price 2]]/RawMaterials[[#This Row],[Lab Q Model Units 2]]</f>
        <v>#N/A</v>
      </c>
      <c r="AD614" s="367" t="e">
        <f>RawMaterials[[#This Row],[Lab Price 3]]/RawMaterials[[#This Row],[Lab Q Model Units 3]]</f>
        <v>#N/A</v>
      </c>
      <c r="AE614" s="367" t="e">
        <f>RawMaterials[[#This Row],[Lab Price 4]]/RawMaterials[[#This Row],[Lab Q Model Units 4]]</f>
        <v>#N/A</v>
      </c>
      <c r="AF614" s="367" t="str">
        <f ca="1">IF(RawMaterials[[#This Row],[Lab Quote Count]]&gt;1,SLOPE(LOG(INDIRECT("RawMaterials[@[Lab Unit P 1]:[Lab Unit P "&amp;RawMaterials[[#This Row],[Lab Quote Count]]&amp;"]]")),LOG(INDIRECT("RawMaterials[@[Lab Q Model Units 1]:[Lab Q Model Units "&amp;RawMaterials[[#This Row],[Lab Quote Count]]&amp;"]]"))),"")</f>
        <v/>
      </c>
      <c r="AG614" s="367" t="str">
        <f ca="1">IF(RawMaterials[[#This Row],[Lab Quote Count]]&gt;1,INTERCEPT(LOG(INDIRECT("RawMaterials[@[Lab Unit P 1]:[Lab Unit P "&amp;RawMaterials[[#This Row],[Lab Quote Count]]&amp;"]]")),LOG(INDIRECT("RawMaterials[@[Lab Q Model Units 1]:[Lab Q Model Units "&amp;RawMaterials[[#This Row],[Lab Quote Count]]&amp;"]]"))),"")</f>
        <v/>
      </c>
      <c r="AH614" s="368" t="str">
        <f>IF(RawMaterials[[#This Row],[Material Type]]="Metal Precursor","D13",IF(RawMaterials[[#This Row],[Material Type]]="Ligand","D13","D12"))</f>
        <v>D12</v>
      </c>
      <c r="AI614" s="369" t="str">
        <f ca="1">IF(RawMaterials[[#This Row],[Lab Quote Count]]&gt;1,10^RawMaterials[[#This Row],[Lab Log-Log Intercept]]*INDIRECT(RawMaterials[[#This Row],[Basis Cell]])^RawMaterials[[#This Row],[Lab Log-Log Slope]],"&gt;&gt;&gt; Enter 2 or more lab quotes &lt;&lt;&lt;")</f>
        <v>&gt;&gt;&gt; Enter 2 or more lab quotes &lt;&lt;&lt;</v>
      </c>
      <c r="AJ614"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4"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0.48679486097489255</v>
      </c>
      <c r="AL614" s="372">
        <f>IF(ISTEXT(RawMaterials[[#This Row],[Unit price in quote year]]),"Check calcs",RawMaterials[[#This Row],[Unit price in quote year]]/VLOOKUP(RawMaterials[[#This Row],[Quote Year]],ChemPPI[],14,FALSE)*VLOOKUP(BasisYear,ChemPPI[],14,FALSE))</f>
        <v>0.56975529976144812</v>
      </c>
      <c r="AM614" s="373" t="str">
        <f t="shared" si="9"/>
        <v>$/lb (2016)</v>
      </c>
    </row>
    <row r="615" spans="1:39">
      <c r="A615" s="270" t="s">
        <v>1709</v>
      </c>
      <c r="B615" s="272"/>
      <c r="C615" s="273"/>
      <c r="D615" s="272">
        <v>0.86399999999999999</v>
      </c>
      <c r="E615" s="272">
        <v>100</v>
      </c>
      <c r="F615" s="272"/>
      <c r="G615" s="273"/>
      <c r="H615" s="273"/>
      <c r="I615" s="384"/>
      <c r="J615" s="273"/>
      <c r="K615" s="273"/>
      <c r="L615" s="273"/>
      <c r="M615" s="273"/>
      <c r="N615" s="273"/>
      <c r="O615" s="273"/>
      <c r="P615" s="364">
        <v>3.44999999999999</v>
      </c>
      <c r="Q615" s="264">
        <v>1</v>
      </c>
      <c r="R615" s="272" t="s">
        <v>85</v>
      </c>
      <c r="S615" s="272">
        <v>2008</v>
      </c>
      <c r="T615" s="273" t="s">
        <v>163</v>
      </c>
      <c r="U615" s="267">
        <v>42653</v>
      </c>
      <c r="V615" s="269"/>
      <c r="W615" s="366">
        <f>COUNT(RawMaterials[[#This Row],[Lab Quantity 1]:[Lab Quantity 4]])</f>
        <v>0</v>
      </c>
      <c r="X615"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5"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5"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5"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5" s="367" t="e">
        <f>RawMaterials[[#This Row],[Lab Price 1]]/RawMaterials[[#This Row],[Lab Q Model Units 1]]</f>
        <v>#N/A</v>
      </c>
      <c r="AC615" s="367" t="e">
        <f>RawMaterials[[#This Row],[Lab Price 2]]/RawMaterials[[#This Row],[Lab Q Model Units 2]]</f>
        <v>#N/A</v>
      </c>
      <c r="AD615" s="367" t="e">
        <f>RawMaterials[[#This Row],[Lab Price 3]]/RawMaterials[[#This Row],[Lab Q Model Units 3]]</f>
        <v>#N/A</v>
      </c>
      <c r="AE615" s="367" t="e">
        <f>RawMaterials[[#This Row],[Lab Price 4]]/RawMaterials[[#This Row],[Lab Q Model Units 4]]</f>
        <v>#N/A</v>
      </c>
      <c r="AF615" s="367" t="str">
        <f ca="1">IF(RawMaterials[[#This Row],[Lab Quote Count]]&gt;1,SLOPE(LOG(INDIRECT("RawMaterials[@[Lab Unit P 1]:[Lab Unit P "&amp;RawMaterials[[#This Row],[Lab Quote Count]]&amp;"]]")),LOG(INDIRECT("RawMaterials[@[Lab Q Model Units 1]:[Lab Q Model Units "&amp;RawMaterials[[#This Row],[Lab Quote Count]]&amp;"]]"))),"")</f>
        <v/>
      </c>
      <c r="AG615" s="367" t="str">
        <f ca="1">IF(RawMaterials[[#This Row],[Lab Quote Count]]&gt;1,INTERCEPT(LOG(INDIRECT("RawMaterials[@[Lab Unit P 1]:[Lab Unit P "&amp;RawMaterials[[#This Row],[Lab Quote Count]]&amp;"]]")),LOG(INDIRECT("RawMaterials[@[Lab Q Model Units 1]:[Lab Q Model Units "&amp;RawMaterials[[#This Row],[Lab Quote Count]]&amp;"]]"))),"")</f>
        <v/>
      </c>
      <c r="AH615" s="368" t="str">
        <f>IF(RawMaterials[[#This Row],[Material Type]]="Metal Precursor","D13",IF(RawMaterials[[#This Row],[Material Type]]="Ligand","D13","D12"))</f>
        <v>D12</v>
      </c>
      <c r="AI615" s="369" t="str">
        <f ca="1">IF(RawMaterials[[#This Row],[Lab Quote Count]]&gt;1,10^RawMaterials[[#This Row],[Lab Log-Log Intercept]]*INDIRECT(RawMaterials[[#This Row],[Basis Cell]])^RawMaterials[[#This Row],[Lab Log-Log Slope]],"&gt;&gt;&gt; Enter 2 or more lab quotes &lt;&lt;&lt;")</f>
        <v>&gt;&gt;&gt; Enter 2 or more lab quotes &lt;&lt;&lt;</v>
      </c>
      <c r="AJ615"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7.2104294465447021</v>
      </c>
      <c r="AK615"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0.4784735813001067</v>
      </c>
      <c r="AL615" s="372">
        <f>IF(ISTEXT(RawMaterials[[#This Row],[Unit price in quote year]]),"Check calcs",RawMaterials[[#This Row],[Unit price in quote year]]/VLOOKUP(RawMaterials[[#This Row],[Quote Year]],ChemPPI[],14,FALSE)*VLOOKUP(BasisYear,ChemPPI[],14,FALSE))</f>
        <v>0.56001589292791742</v>
      </c>
      <c r="AM615" s="373" t="str">
        <f t="shared" si="9"/>
        <v>$/lb (2016)</v>
      </c>
    </row>
    <row r="616" spans="1:39">
      <c r="A616" s="270" t="s">
        <v>1710</v>
      </c>
      <c r="B616" s="272"/>
      <c r="C616" s="273"/>
      <c r="D616" s="272"/>
      <c r="E616" s="272">
        <v>100</v>
      </c>
      <c r="F616" s="272"/>
      <c r="G616" s="273"/>
      <c r="H616" s="273"/>
      <c r="I616" s="384"/>
      <c r="J616" s="273"/>
      <c r="K616" s="273"/>
      <c r="L616" s="273"/>
      <c r="M616" s="273"/>
      <c r="N616" s="273"/>
      <c r="O616" s="273"/>
      <c r="P616" s="364">
        <v>1.7</v>
      </c>
      <c r="Q616" s="264">
        <v>1</v>
      </c>
      <c r="R616" s="272" t="s">
        <v>20</v>
      </c>
      <c r="S616" s="272">
        <v>2006</v>
      </c>
      <c r="T616" s="273" t="s">
        <v>163</v>
      </c>
      <c r="U616" s="267">
        <v>42653</v>
      </c>
      <c r="V616" s="269"/>
      <c r="W616" s="366">
        <f>COUNT(RawMaterials[[#This Row],[Lab Quantity 1]:[Lab Quantity 4]])</f>
        <v>0</v>
      </c>
      <c r="X616"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6"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6"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6"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6" s="367" t="e">
        <f>RawMaterials[[#This Row],[Lab Price 1]]/RawMaterials[[#This Row],[Lab Q Model Units 1]]</f>
        <v>#N/A</v>
      </c>
      <c r="AC616" s="367" t="e">
        <f>RawMaterials[[#This Row],[Lab Price 2]]/RawMaterials[[#This Row],[Lab Q Model Units 2]]</f>
        <v>#N/A</v>
      </c>
      <c r="AD616" s="367" t="e">
        <f>RawMaterials[[#This Row],[Lab Price 3]]/RawMaterials[[#This Row],[Lab Q Model Units 3]]</f>
        <v>#N/A</v>
      </c>
      <c r="AE616" s="367" t="e">
        <f>RawMaterials[[#This Row],[Lab Price 4]]/RawMaterials[[#This Row],[Lab Q Model Units 4]]</f>
        <v>#N/A</v>
      </c>
      <c r="AF616" s="367" t="str">
        <f ca="1">IF(RawMaterials[[#This Row],[Lab Quote Count]]&gt;1,SLOPE(LOG(INDIRECT("RawMaterials[@[Lab Unit P 1]:[Lab Unit P "&amp;RawMaterials[[#This Row],[Lab Quote Count]]&amp;"]]")),LOG(INDIRECT("RawMaterials[@[Lab Q Model Units 1]:[Lab Q Model Units "&amp;RawMaterials[[#This Row],[Lab Quote Count]]&amp;"]]"))),"")</f>
        <v/>
      </c>
      <c r="AG616" s="367" t="str">
        <f ca="1">IF(RawMaterials[[#This Row],[Lab Quote Count]]&gt;1,INTERCEPT(LOG(INDIRECT("RawMaterials[@[Lab Unit P 1]:[Lab Unit P "&amp;RawMaterials[[#This Row],[Lab Quote Count]]&amp;"]]")),LOG(INDIRECT("RawMaterials[@[Lab Q Model Units 1]:[Lab Q Model Units "&amp;RawMaterials[[#This Row],[Lab Quote Count]]&amp;"]]"))),"")</f>
        <v/>
      </c>
      <c r="AH616" s="368" t="str">
        <f>IF(RawMaterials[[#This Row],[Material Type]]="Metal Precursor","D13",IF(RawMaterials[[#This Row],[Material Type]]="Ligand","D13","D12"))</f>
        <v>D12</v>
      </c>
      <c r="AI616" s="369" t="str">
        <f ca="1">IF(RawMaterials[[#This Row],[Lab Quote Count]]&gt;1,10^RawMaterials[[#This Row],[Lab Log-Log Intercept]]*INDIRECT(RawMaterials[[#This Row],[Basis Cell]])^RawMaterials[[#This Row],[Lab Log-Log Slope]],"&gt;&gt;&gt; Enter 2 or more lab quotes &lt;&lt;&lt;")</f>
        <v>&gt;&gt;&gt; Enter 2 or more lab quotes &lt;&lt;&lt;</v>
      </c>
      <c r="AJ616"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6"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1.7</v>
      </c>
      <c r="AL616" s="372">
        <f>IF(ISTEXT(RawMaterials[[#This Row],[Unit price in quote year]]),"Check calcs",RawMaterials[[#This Row],[Unit price in quote year]]/VLOOKUP(RawMaterials[[#This Row],[Quote Year]],ChemPPI[],14,FALSE)*VLOOKUP(BasisYear,ChemPPI[],14,FALSE))</f>
        <v>2.3072662601626019</v>
      </c>
      <c r="AM616" s="373" t="str">
        <f t="shared" si="9"/>
        <v>$/lb (2016)</v>
      </c>
    </row>
    <row r="617" spans="1:39">
      <c r="A617" s="270" t="s">
        <v>1711</v>
      </c>
      <c r="B617" s="272"/>
      <c r="C617" s="273"/>
      <c r="D617" s="272"/>
      <c r="E617" s="272">
        <v>100</v>
      </c>
      <c r="F617" s="272"/>
      <c r="G617" s="273"/>
      <c r="H617" s="273"/>
      <c r="I617" s="384"/>
      <c r="J617" s="273"/>
      <c r="K617" s="273"/>
      <c r="L617" s="273"/>
      <c r="M617" s="273"/>
      <c r="N617" s="273"/>
      <c r="O617" s="273"/>
      <c r="P617" s="364">
        <v>29.35</v>
      </c>
      <c r="Q617" s="264">
        <v>1</v>
      </c>
      <c r="R617" s="272" t="s">
        <v>20</v>
      </c>
      <c r="S617" s="272">
        <v>2006</v>
      </c>
      <c r="T617" s="273" t="s">
        <v>163</v>
      </c>
      <c r="U617" s="267">
        <v>42653</v>
      </c>
      <c r="V617" s="269"/>
      <c r="W617" s="366">
        <f>COUNT(RawMaterials[[#This Row],[Lab Quantity 1]:[Lab Quantity 4]])</f>
        <v>0</v>
      </c>
      <c r="X617"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7"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7"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7"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7" s="367" t="e">
        <f>RawMaterials[[#This Row],[Lab Price 1]]/RawMaterials[[#This Row],[Lab Q Model Units 1]]</f>
        <v>#N/A</v>
      </c>
      <c r="AC617" s="367" t="e">
        <f>RawMaterials[[#This Row],[Lab Price 2]]/RawMaterials[[#This Row],[Lab Q Model Units 2]]</f>
        <v>#N/A</v>
      </c>
      <c r="AD617" s="367" t="e">
        <f>RawMaterials[[#This Row],[Lab Price 3]]/RawMaterials[[#This Row],[Lab Q Model Units 3]]</f>
        <v>#N/A</v>
      </c>
      <c r="AE617" s="367" t="e">
        <f>RawMaterials[[#This Row],[Lab Price 4]]/RawMaterials[[#This Row],[Lab Q Model Units 4]]</f>
        <v>#N/A</v>
      </c>
      <c r="AF617" s="367" t="str">
        <f ca="1">IF(RawMaterials[[#This Row],[Lab Quote Count]]&gt;1,SLOPE(LOG(INDIRECT("RawMaterials[@[Lab Unit P 1]:[Lab Unit P "&amp;RawMaterials[[#This Row],[Lab Quote Count]]&amp;"]]")),LOG(INDIRECT("RawMaterials[@[Lab Q Model Units 1]:[Lab Q Model Units "&amp;RawMaterials[[#This Row],[Lab Quote Count]]&amp;"]]"))),"")</f>
        <v/>
      </c>
      <c r="AG617" s="367" t="str">
        <f ca="1">IF(RawMaterials[[#This Row],[Lab Quote Count]]&gt;1,INTERCEPT(LOG(INDIRECT("RawMaterials[@[Lab Unit P 1]:[Lab Unit P "&amp;RawMaterials[[#This Row],[Lab Quote Count]]&amp;"]]")),LOG(INDIRECT("RawMaterials[@[Lab Q Model Units 1]:[Lab Q Model Units "&amp;RawMaterials[[#This Row],[Lab Quote Count]]&amp;"]]"))),"")</f>
        <v/>
      </c>
      <c r="AH617" s="368" t="str">
        <f>IF(RawMaterials[[#This Row],[Material Type]]="Metal Precursor","D13",IF(RawMaterials[[#This Row],[Material Type]]="Ligand","D13","D12"))</f>
        <v>D12</v>
      </c>
      <c r="AI617" s="369" t="str">
        <f ca="1">IF(RawMaterials[[#This Row],[Lab Quote Count]]&gt;1,10^RawMaterials[[#This Row],[Lab Log-Log Intercept]]*INDIRECT(RawMaterials[[#This Row],[Basis Cell]])^RawMaterials[[#This Row],[Lab Log-Log Slope]],"&gt;&gt;&gt; Enter 2 or more lab quotes &lt;&lt;&lt;")</f>
        <v>&gt;&gt;&gt; Enter 2 or more lab quotes &lt;&lt;&lt;</v>
      </c>
      <c r="AJ617"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7"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29.35</v>
      </c>
      <c r="AL617" s="372">
        <f>IF(ISTEXT(RawMaterials[[#This Row],[Unit price in quote year]]),"Check calcs",RawMaterials[[#This Row],[Unit price in quote year]]/VLOOKUP(RawMaterials[[#This Row],[Quote Year]],ChemPPI[],14,FALSE)*VLOOKUP(BasisYear,ChemPPI[],14,FALSE))</f>
        <v>39.834273373983748</v>
      </c>
      <c r="AM617" s="373" t="str">
        <f t="shared" si="9"/>
        <v>$/lb (2016)</v>
      </c>
    </row>
    <row r="618" spans="1:39">
      <c r="A618" s="270" t="s">
        <v>1712</v>
      </c>
      <c r="B618" s="272"/>
      <c r="C618" s="273"/>
      <c r="D618" s="272"/>
      <c r="E618" s="272">
        <v>100</v>
      </c>
      <c r="F618" s="272"/>
      <c r="G618" s="273"/>
      <c r="H618" s="273"/>
      <c r="I618" s="384"/>
      <c r="J618" s="273"/>
      <c r="K618" s="273"/>
      <c r="L618" s="273"/>
      <c r="M618" s="273"/>
      <c r="N618" s="273"/>
      <c r="O618" s="273"/>
      <c r="P618" s="364">
        <v>0.38500000000000001</v>
      </c>
      <c r="Q618" s="264">
        <v>1</v>
      </c>
      <c r="R618" s="272" t="s">
        <v>20</v>
      </c>
      <c r="S618" s="272">
        <v>2006</v>
      </c>
      <c r="T618" s="273" t="s">
        <v>163</v>
      </c>
      <c r="U618" s="267">
        <v>42653</v>
      </c>
      <c r="V618" s="269"/>
      <c r="W618" s="366">
        <f>COUNT(RawMaterials[[#This Row],[Lab Quantity 1]:[Lab Quantity 4]])</f>
        <v>0</v>
      </c>
      <c r="X618"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8"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8"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8"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8" s="367" t="e">
        <f>RawMaterials[[#This Row],[Lab Price 1]]/RawMaterials[[#This Row],[Lab Q Model Units 1]]</f>
        <v>#N/A</v>
      </c>
      <c r="AC618" s="367" t="e">
        <f>RawMaterials[[#This Row],[Lab Price 2]]/RawMaterials[[#This Row],[Lab Q Model Units 2]]</f>
        <v>#N/A</v>
      </c>
      <c r="AD618" s="367" t="e">
        <f>RawMaterials[[#This Row],[Lab Price 3]]/RawMaterials[[#This Row],[Lab Q Model Units 3]]</f>
        <v>#N/A</v>
      </c>
      <c r="AE618" s="367" t="e">
        <f>RawMaterials[[#This Row],[Lab Price 4]]/RawMaterials[[#This Row],[Lab Q Model Units 4]]</f>
        <v>#N/A</v>
      </c>
      <c r="AF618" s="367" t="str">
        <f ca="1">IF(RawMaterials[[#This Row],[Lab Quote Count]]&gt;1,SLOPE(LOG(INDIRECT("RawMaterials[@[Lab Unit P 1]:[Lab Unit P "&amp;RawMaterials[[#This Row],[Lab Quote Count]]&amp;"]]")),LOG(INDIRECT("RawMaterials[@[Lab Q Model Units 1]:[Lab Q Model Units "&amp;RawMaterials[[#This Row],[Lab Quote Count]]&amp;"]]"))),"")</f>
        <v/>
      </c>
      <c r="AG618" s="367" t="str">
        <f ca="1">IF(RawMaterials[[#This Row],[Lab Quote Count]]&gt;1,INTERCEPT(LOG(INDIRECT("RawMaterials[@[Lab Unit P 1]:[Lab Unit P "&amp;RawMaterials[[#This Row],[Lab Quote Count]]&amp;"]]")),LOG(INDIRECT("RawMaterials[@[Lab Q Model Units 1]:[Lab Q Model Units "&amp;RawMaterials[[#This Row],[Lab Quote Count]]&amp;"]]"))),"")</f>
        <v/>
      </c>
      <c r="AH618" s="368" t="str">
        <f>IF(RawMaterials[[#This Row],[Material Type]]="Metal Precursor","D13",IF(RawMaterials[[#This Row],[Material Type]]="Ligand","D13","D12"))</f>
        <v>D12</v>
      </c>
      <c r="AI618" s="369" t="str">
        <f ca="1">IF(RawMaterials[[#This Row],[Lab Quote Count]]&gt;1,10^RawMaterials[[#This Row],[Lab Log-Log Intercept]]*INDIRECT(RawMaterials[[#This Row],[Basis Cell]])^RawMaterials[[#This Row],[Lab Log-Log Slope]],"&gt;&gt;&gt; Enter 2 or more lab quotes &lt;&lt;&lt;")</f>
        <v>&gt;&gt;&gt; Enter 2 or more lab quotes &lt;&lt;&lt;</v>
      </c>
      <c r="AJ618"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8"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0.38500000000000001</v>
      </c>
      <c r="AL618" s="372">
        <f>IF(ISTEXT(RawMaterials[[#This Row],[Unit price in quote year]]),"Check calcs",RawMaterials[[#This Row],[Unit price in quote year]]/VLOOKUP(RawMaterials[[#This Row],[Quote Year]],ChemPPI[],14,FALSE)*VLOOKUP(BasisYear,ChemPPI[],14,FALSE))</f>
        <v>0.52252794715447159</v>
      </c>
      <c r="AM618" s="373" t="str">
        <f t="shared" si="9"/>
        <v>$/lb (2016)</v>
      </c>
    </row>
    <row r="619" spans="1:39">
      <c r="A619" s="270" t="s">
        <v>1713</v>
      </c>
      <c r="B619" s="272"/>
      <c r="C619" s="273"/>
      <c r="D619" s="272"/>
      <c r="E619" s="272">
        <v>100</v>
      </c>
      <c r="F619" s="272"/>
      <c r="G619" s="273"/>
      <c r="H619" s="273"/>
      <c r="I619" s="384"/>
      <c r="J619" s="273"/>
      <c r="K619" s="273"/>
      <c r="L619" s="273"/>
      <c r="M619" s="273"/>
      <c r="N619" s="273"/>
      <c r="O619" s="273"/>
      <c r="P619" s="364">
        <v>2.27</v>
      </c>
      <c r="Q619" s="264">
        <v>1</v>
      </c>
      <c r="R619" s="272" t="s">
        <v>20</v>
      </c>
      <c r="S619" s="272">
        <v>2006</v>
      </c>
      <c r="T619" s="273" t="s">
        <v>163</v>
      </c>
      <c r="U619" s="267">
        <v>42653</v>
      </c>
      <c r="V619" s="269"/>
      <c r="W619" s="366">
        <f>COUNT(RawMaterials[[#This Row],[Lab Quantity 1]:[Lab Quantity 4]])</f>
        <v>0</v>
      </c>
      <c r="X619"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19"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19"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19"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19" s="367" t="e">
        <f>RawMaterials[[#This Row],[Lab Price 1]]/RawMaterials[[#This Row],[Lab Q Model Units 1]]</f>
        <v>#N/A</v>
      </c>
      <c r="AC619" s="367" t="e">
        <f>RawMaterials[[#This Row],[Lab Price 2]]/RawMaterials[[#This Row],[Lab Q Model Units 2]]</f>
        <v>#N/A</v>
      </c>
      <c r="AD619" s="367" t="e">
        <f>RawMaterials[[#This Row],[Lab Price 3]]/RawMaterials[[#This Row],[Lab Q Model Units 3]]</f>
        <v>#N/A</v>
      </c>
      <c r="AE619" s="367" t="e">
        <f>RawMaterials[[#This Row],[Lab Price 4]]/RawMaterials[[#This Row],[Lab Q Model Units 4]]</f>
        <v>#N/A</v>
      </c>
      <c r="AF619" s="367" t="str">
        <f ca="1">IF(RawMaterials[[#This Row],[Lab Quote Count]]&gt;1,SLOPE(LOG(INDIRECT("RawMaterials[@[Lab Unit P 1]:[Lab Unit P "&amp;RawMaterials[[#This Row],[Lab Quote Count]]&amp;"]]")),LOG(INDIRECT("RawMaterials[@[Lab Q Model Units 1]:[Lab Q Model Units "&amp;RawMaterials[[#This Row],[Lab Quote Count]]&amp;"]]"))),"")</f>
        <v/>
      </c>
      <c r="AG619" s="367" t="str">
        <f ca="1">IF(RawMaterials[[#This Row],[Lab Quote Count]]&gt;1,INTERCEPT(LOG(INDIRECT("RawMaterials[@[Lab Unit P 1]:[Lab Unit P "&amp;RawMaterials[[#This Row],[Lab Quote Count]]&amp;"]]")),LOG(INDIRECT("RawMaterials[@[Lab Q Model Units 1]:[Lab Q Model Units "&amp;RawMaterials[[#This Row],[Lab Quote Count]]&amp;"]]"))),"")</f>
        <v/>
      </c>
      <c r="AH619" s="368" t="str">
        <f>IF(RawMaterials[[#This Row],[Material Type]]="Metal Precursor","D13",IF(RawMaterials[[#This Row],[Material Type]]="Ligand","D13","D12"))</f>
        <v>D12</v>
      </c>
      <c r="AI619" s="369" t="str">
        <f ca="1">IF(RawMaterials[[#This Row],[Lab Quote Count]]&gt;1,10^RawMaterials[[#This Row],[Lab Log-Log Intercept]]*INDIRECT(RawMaterials[[#This Row],[Basis Cell]])^RawMaterials[[#This Row],[Lab Log-Log Slope]],"&gt;&gt;&gt; Enter 2 or more lab quotes &lt;&lt;&lt;")</f>
        <v>&gt;&gt;&gt; Enter 2 or more lab quotes &lt;&lt;&lt;</v>
      </c>
      <c r="AJ619"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19"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2.27</v>
      </c>
      <c r="AL619" s="372">
        <f>IF(ISTEXT(RawMaterials[[#This Row],[Unit price in quote year]]),"Check calcs",RawMaterials[[#This Row],[Unit price in quote year]]/VLOOKUP(RawMaterials[[#This Row],[Quote Year]],ChemPPI[],14,FALSE)*VLOOKUP(BasisYear,ChemPPI[],14,FALSE))</f>
        <v>3.080879065040651</v>
      </c>
      <c r="AM619" s="373" t="str">
        <f t="shared" si="9"/>
        <v>$/lb (2016)</v>
      </c>
    </row>
    <row r="620" spans="1:39">
      <c r="A620" s="270" t="s">
        <v>1714</v>
      </c>
      <c r="B620" s="272"/>
      <c r="C620" s="273"/>
      <c r="D620" s="272"/>
      <c r="E620" s="272">
        <v>100</v>
      </c>
      <c r="F620" s="272"/>
      <c r="G620" s="273"/>
      <c r="H620" s="273"/>
      <c r="I620" s="384"/>
      <c r="J620" s="273"/>
      <c r="K620" s="273"/>
      <c r="L620" s="273"/>
      <c r="M620" s="273"/>
      <c r="N620" s="273"/>
      <c r="O620" s="273"/>
      <c r="P620" s="364">
        <v>501</v>
      </c>
      <c r="Q620" s="264">
        <v>1</v>
      </c>
      <c r="R620" s="272" t="s">
        <v>406</v>
      </c>
      <c r="S620" s="272">
        <v>2006</v>
      </c>
      <c r="T620" s="273" t="s">
        <v>163</v>
      </c>
      <c r="U620" s="267">
        <v>42653</v>
      </c>
      <c r="V620" s="269"/>
      <c r="W620" s="366">
        <f>COUNT(RawMaterials[[#This Row],[Lab Quantity 1]:[Lab Quantity 4]])</f>
        <v>0</v>
      </c>
      <c r="X620"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0"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0"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0"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0" s="367" t="e">
        <f>RawMaterials[[#This Row],[Lab Price 1]]/RawMaterials[[#This Row],[Lab Q Model Units 1]]</f>
        <v>#N/A</v>
      </c>
      <c r="AC620" s="367" t="e">
        <f>RawMaterials[[#This Row],[Lab Price 2]]/RawMaterials[[#This Row],[Lab Q Model Units 2]]</f>
        <v>#N/A</v>
      </c>
      <c r="AD620" s="367" t="e">
        <f>RawMaterials[[#This Row],[Lab Price 3]]/RawMaterials[[#This Row],[Lab Q Model Units 3]]</f>
        <v>#N/A</v>
      </c>
      <c r="AE620" s="367" t="e">
        <f>RawMaterials[[#This Row],[Lab Price 4]]/RawMaterials[[#This Row],[Lab Q Model Units 4]]</f>
        <v>#N/A</v>
      </c>
      <c r="AF620" s="367" t="str">
        <f ca="1">IF(RawMaterials[[#This Row],[Lab Quote Count]]&gt;1,SLOPE(LOG(INDIRECT("RawMaterials[@[Lab Unit P 1]:[Lab Unit P "&amp;RawMaterials[[#This Row],[Lab Quote Count]]&amp;"]]")),LOG(INDIRECT("RawMaterials[@[Lab Q Model Units 1]:[Lab Q Model Units "&amp;RawMaterials[[#This Row],[Lab Quote Count]]&amp;"]]"))),"")</f>
        <v/>
      </c>
      <c r="AG620" s="367" t="str">
        <f ca="1">IF(RawMaterials[[#This Row],[Lab Quote Count]]&gt;1,INTERCEPT(LOG(INDIRECT("RawMaterials[@[Lab Unit P 1]:[Lab Unit P "&amp;RawMaterials[[#This Row],[Lab Quote Count]]&amp;"]]")),LOG(INDIRECT("RawMaterials[@[Lab Q Model Units 1]:[Lab Q Model Units "&amp;RawMaterials[[#This Row],[Lab Quote Count]]&amp;"]]"))),"")</f>
        <v/>
      </c>
      <c r="AH620" s="368" t="str">
        <f>IF(RawMaterials[[#This Row],[Material Type]]="Metal Precursor","D13",IF(RawMaterials[[#This Row],[Material Type]]="Ligand","D13","D12"))</f>
        <v>D12</v>
      </c>
      <c r="AI620" s="369" t="str">
        <f ca="1">IF(RawMaterials[[#This Row],[Lab Quote Count]]&gt;1,10^RawMaterials[[#This Row],[Lab Log-Log Intercept]]*INDIRECT(RawMaterials[[#This Row],[Basis Cell]])^RawMaterials[[#This Row],[Lab Log-Log Slope]],"&gt;&gt;&gt; Enter 2 or more lab quotes &lt;&lt;&lt;")</f>
        <v>&gt;&gt;&gt; Enter 2 or more lab quotes &lt;&lt;&lt;</v>
      </c>
      <c r="AJ620"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0"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0.2505</v>
      </c>
      <c r="AL620" s="372">
        <f>IF(ISTEXT(RawMaterials[[#This Row],[Unit price in quote year]]),"Check calcs",RawMaterials[[#This Row],[Unit price in quote year]]/VLOOKUP(RawMaterials[[#This Row],[Quote Year]],ChemPPI[],14,FALSE)*VLOOKUP(BasisYear,ChemPPI[],14,FALSE))</f>
        <v>0.33998246951219518</v>
      </c>
      <c r="AM620" s="373" t="str">
        <f t="shared" si="9"/>
        <v>$/lb (2016)</v>
      </c>
    </row>
    <row r="621" spans="1:39">
      <c r="A621" s="270" t="s">
        <v>1715</v>
      </c>
      <c r="B621" s="272"/>
      <c r="C621" s="273"/>
      <c r="D621" s="272"/>
      <c r="E621" s="272">
        <v>100</v>
      </c>
      <c r="F621" s="272"/>
      <c r="G621" s="273"/>
      <c r="H621" s="273"/>
      <c r="I621" s="384"/>
      <c r="J621" s="273"/>
      <c r="K621" s="273"/>
      <c r="L621" s="273"/>
      <c r="M621" s="273"/>
      <c r="N621" s="273"/>
      <c r="O621" s="273"/>
      <c r="P621" s="364">
        <v>680.75</v>
      </c>
      <c r="Q621" s="264">
        <v>1</v>
      </c>
      <c r="R621" s="272" t="s">
        <v>406</v>
      </c>
      <c r="S621" s="272">
        <v>2006</v>
      </c>
      <c r="T621" s="273" t="s">
        <v>163</v>
      </c>
      <c r="U621" s="267">
        <v>42653</v>
      </c>
      <c r="V621" s="269"/>
      <c r="W621" s="366">
        <f>COUNT(RawMaterials[[#This Row],[Lab Quantity 1]:[Lab Quantity 4]])</f>
        <v>0</v>
      </c>
      <c r="X621" s="367"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1" s="367"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1" s="367"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1" s="367"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1" s="367" t="e">
        <f>RawMaterials[[#This Row],[Lab Price 1]]/RawMaterials[[#This Row],[Lab Q Model Units 1]]</f>
        <v>#N/A</v>
      </c>
      <c r="AC621" s="367" t="e">
        <f>RawMaterials[[#This Row],[Lab Price 2]]/RawMaterials[[#This Row],[Lab Q Model Units 2]]</f>
        <v>#N/A</v>
      </c>
      <c r="AD621" s="367" t="e">
        <f>RawMaterials[[#This Row],[Lab Price 3]]/RawMaterials[[#This Row],[Lab Q Model Units 3]]</f>
        <v>#N/A</v>
      </c>
      <c r="AE621" s="367" t="e">
        <f>RawMaterials[[#This Row],[Lab Price 4]]/RawMaterials[[#This Row],[Lab Q Model Units 4]]</f>
        <v>#N/A</v>
      </c>
      <c r="AF621" s="367" t="str">
        <f ca="1">IF(RawMaterials[[#This Row],[Lab Quote Count]]&gt;1,SLOPE(LOG(INDIRECT("RawMaterials[@[Lab Unit P 1]:[Lab Unit P "&amp;RawMaterials[[#This Row],[Lab Quote Count]]&amp;"]]")),LOG(INDIRECT("RawMaterials[@[Lab Q Model Units 1]:[Lab Q Model Units "&amp;RawMaterials[[#This Row],[Lab Quote Count]]&amp;"]]"))),"")</f>
        <v/>
      </c>
      <c r="AG621" s="367" t="str">
        <f ca="1">IF(RawMaterials[[#This Row],[Lab Quote Count]]&gt;1,INTERCEPT(LOG(INDIRECT("RawMaterials[@[Lab Unit P 1]:[Lab Unit P "&amp;RawMaterials[[#This Row],[Lab Quote Count]]&amp;"]]")),LOG(INDIRECT("RawMaterials[@[Lab Q Model Units 1]:[Lab Q Model Units "&amp;RawMaterials[[#This Row],[Lab Quote Count]]&amp;"]]"))),"")</f>
        <v/>
      </c>
      <c r="AH621" s="368" t="str">
        <f>IF(RawMaterials[[#This Row],[Material Type]]="Metal Precursor","D13",IF(RawMaterials[[#This Row],[Material Type]]="Ligand","D13","D12"))</f>
        <v>D12</v>
      </c>
      <c r="AI621" s="369" t="str">
        <f ca="1">IF(RawMaterials[[#This Row],[Lab Quote Count]]&gt;1,10^RawMaterials[[#This Row],[Lab Log-Log Intercept]]*INDIRECT(RawMaterials[[#This Row],[Basis Cell]])^RawMaterials[[#This Row],[Lab Log-Log Slope]],"&gt;&gt;&gt; Enter 2 or more lab quotes &lt;&lt;&lt;")</f>
        <v>&gt;&gt;&gt; Enter 2 or more lab quotes &lt;&lt;&lt;</v>
      </c>
      <c r="AJ621" s="370">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2000</v>
      </c>
      <c r="AK621" s="372">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0.34037499999999998</v>
      </c>
      <c r="AL621" s="372">
        <f>IF(ISTEXT(RawMaterials[[#This Row],[Unit price in quote year]]),"Check calcs",RawMaterials[[#This Row],[Unit price in quote year]]/VLOOKUP(RawMaterials[[#This Row],[Quote Year]],ChemPPI[],14,FALSE)*VLOOKUP(BasisYear,ChemPPI[],14,FALSE))</f>
        <v>0.46196220782520331</v>
      </c>
      <c r="AM621" s="373" t="str">
        <f t="shared" si="9"/>
        <v>$/lb (2016)</v>
      </c>
    </row>
    <row r="622" spans="1:39">
      <c r="A622" s="405" t="s">
        <v>1844</v>
      </c>
      <c r="B622" s="406"/>
      <c r="C622" s="407"/>
      <c r="D622" s="406"/>
      <c r="E622" s="406">
        <v>100</v>
      </c>
      <c r="F622" s="406"/>
      <c r="G622" s="407"/>
      <c r="H622" s="407"/>
      <c r="I622" s="408"/>
      <c r="J622" s="407"/>
      <c r="K622" s="407"/>
      <c r="L622" s="407"/>
      <c r="M622" s="407"/>
      <c r="N622" s="407"/>
      <c r="O622" s="407"/>
      <c r="P622" s="409">
        <v>0.25</v>
      </c>
      <c r="Q622" s="406">
        <v>1</v>
      </c>
      <c r="R622" s="264" t="s">
        <v>20</v>
      </c>
      <c r="S622" s="406">
        <v>2016</v>
      </c>
      <c r="T622" s="266" t="s">
        <v>1851</v>
      </c>
      <c r="U622" s="410"/>
      <c r="V622" s="411"/>
      <c r="W622" s="407">
        <f>COUNT(RawMaterials[[#This Row],[Lab Quantity 1]:[Lab Quantity 4]])</f>
        <v>0</v>
      </c>
      <c r="X622"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2"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2"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2"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2" s="412" t="e">
        <f>RawMaterials[[#This Row],[Lab Price 1]]/RawMaterials[[#This Row],[Lab Q Model Units 1]]</f>
        <v>#N/A</v>
      </c>
      <c r="AC622" s="412" t="e">
        <f>RawMaterials[[#This Row],[Lab Price 2]]/RawMaterials[[#This Row],[Lab Q Model Units 2]]</f>
        <v>#N/A</v>
      </c>
      <c r="AD622" s="412" t="e">
        <f>RawMaterials[[#This Row],[Lab Price 3]]/RawMaterials[[#This Row],[Lab Q Model Units 3]]</f>
        <v>#N/A</v>
      </c>
      <c r="AE622" s="412" t="e">
        <f>RawMaterials[[#This Row],[Lab Price 4]]/RawMaterials[[#This Row],[Lab Q Model Units 4]]</f>
        <v>#N/A</v>
      </c>
      <c r="AF622" s="412" t="str">
        <f ca="1">IF(RawMaterials[[#This Row],[Lab Quote Count]]&gt;1,SLOPE(LOG(INDIRECT("RawMaterials[@[Lab Unit P 1]:[Lab Unit P "&amp;RawMaterials[[#This Row],[Lab Quote Count]]&amp;"]]")),LOG(INDIRECT("RawMaterials[@[Lab Q Model Units 1]:[Lab Q Model Units "&amp;RawMaterials[[#This Row],[Lab Quote Count]]&amp;"]]"))),"")</f>
        <v/>
      </c>
      <c r="AG622" s="412" t="str">
        <f ca="1">IF(RawMaterials[[#This Row],[Lab Quote Count]]&gt;1,INTERCEPT(LOG(INDIRECT("RawMaterials[@[Lab Unit P 1]:[Lab Unit P "&amp;RawMaterials[[#This Row],[Lab Quote Count]]&amp;"]]")),LOG(INDIRECT("RawMaterials[@[Lab Q Model Units 1]:[Lab Q Model Units "&amp;RawMaterials[[#This Row],[Lab Quote Count]]&amp;"]]"))),"")</f>
        <v/>
      </c>
      <c r="AH622" s="413" t="str">
        <f>IF(RawMaterials[[#This Row],[Material Type]]="Metal Precursor","D13",IF(RawMaterials[[#This Row],[Material Type]]="Ligand","D13","D12"))</f>
        <v>D12</v>
      </c>
      <c r="AI622" s="414" t="str">
        <f ca="1">IF(RawMaterials[[#This Row],[Lab Quote Count]]&gt;1,10^RawMaterials[[#This Row],[Lab Log-Log Intercept]]*INDIRECT(RawMaterials[[#This Row],[Basis Cell]])^RawMaterials[[#This Row],[Lab Log-Log Slope]],"&gt;&gt;&gt; Enter 2 or more lab quotes &lt;&lt;&lt;")</f>
        <v>&gt;&gt;&gt; Enter 2 or more lab quotes &lt;&lt;&lt;</v>
      </c>
      <c r="AJ622"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2"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0.25</v>
      </c>
      <c r="AL622" s="415">
        <f>IF(ISTEXT(RawMaterials[[#This Row],[Unit price in quote year]]),"Check calcs",RawMaterials[[#This Row],[Unit price in quote year]]/VLOOKUP(RawMaterials[[#This Row],[Quote Year]],ChemPPI[],14,FALSE)*VLOOKUP(BasisYear,ChemPPI[],14,FALSE))</f>
        <v>0.25</v>
      </c>
      <c r="AM622" s="413" t="str">
        <f t="shared" ref="AM622:AM629" si="10">CurrencySymbol&amp;"/"&amp;OutMassUnit&amp;" ("&amp;BasisYear&amp;")"</f>
        <v>$/lb (2016)</v>
      </c>
    </row>
    <row r="623" spans="1:39">
      <c r="A623" s="405" t="s">
        <v>1845</v>
      </c>
      <c r="B623" s="406"/>
      <c r="C623" s="407"/>
      <c r="D623" s="406"/>
      <c r="E623" s="406">
        <v>100</v>
      </c>
      <c r="F623" s="406"/>
      <c r="G623" s="407"/>
      <c r="H623" s="407"/>
      <c r="I623" s="408"/>
      <c r="J623" s="407"/>
      <c r="K623" s="407"/>
      <c r="L623" s="407"/>
      <c r="M623" s="407"/>
      <c r="N623" s="407"/>
      <c r="O623" s="407"/>
      <c r="P623" s="409">
        <v>0.3</v>
      </c>
      <c r="Q623" s="406">
        <v>1</v>
      </c>
      <c r="R623" s="264" t="s">
        <v>20</v>
      </c>
      <c r="S623" s="406">
        <v>2016</v>
      </c>
      <c r="T623" s="266" t="s">
        <v>1851</v>
      </c>
      <c r="U623" s="410"/>
      <c r="V623" s="411"/>
      <c r="W623" s="407">
        <f>COUNT(RawMaterials[[#This Row],[Lab Quantity 1]:[Lab Quantity 4]])</f>
        <v>0</v>
      </c>
      <c r="X623"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3"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3"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3"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3" s="412" t="e">
        <f>RawMaterials[[#This Row],[Lab Price 1]]/RawMaterials[[#This Row],[Lab Q Model Units 1]]</f>
        <v>#N/A</v>
      </c>
      <c r="AC623" s="412" t="e">
        <f>RawMaterials[[#This Row],[Lab Price 2]]/RawMaterials[[#This Row],[Lab Q Model Units 2]]</f>
        <v>#N/A</v>
      </c>
      <c r="AD623" s="412" t="e">
        <f>RawMaterials[[#This Row],[Lab Price 3]]/RawMaterials[[#This Row],[Lab Q Model Units 3]]</f>
        <v>#N/A</v>
      </c>
      <c r="AE623" s="412" t="e">
        <f>RawMaterials[[#This Row],[Lab Price 4]]/RawMaterials[[#This Row],[Lab Q Model Units 4]]</f>
        <v>#N/A</v>
      </c>
      <c r="AF623" s="412" t="str">
        <f ca="1">IF(RawMaterials[[#This Row],[Lab Quote Count]]&gt;1,SLOPE(LOG(INDIRECT("RawMaterials[@[Lab Unit P 1]:[Lab Unit P "&amp;RawMaterials[[#This Row],[Lab Quote Count]]&amp;"]]")),LOG(INDIRECT("RawMaterials[@[Lab Q Model Units 1]:[Lab Q Model Units "&amp;RawMaterials[[#This Row],[Lab Quote Count]]&amp;"]]"))),"")</f>
        <v/>
      </c>
      <c r="AG623" s="412" t="str">
        <f ca="1">IF(RawMaterials[[#This Row],[Lab Quote Count]]&gt;1,INTERCEPT(LOG(INDIRECT("RawMaterials[@[Lab Unit P 1]:[Lab Unit P "&amp;RawMaterials[[#This Row],[Lab Quote Count]]&amp;"]]")),LOG(INDIRECT("RawMaterials[@[Lab Q Model Units 1]:[Lab Q Model Units "&amp;RawMaterials[[#This Row],[Lab Quote Count]]&amp;"]]"))),"")</f>
        <v/>
      </c>
      <c r="AH623" s="413" t="str">
        <f>IF(RawMaterials[[#This Row],[Material Type]]="Metal Precursor","D13",IF(RawMaterials[[#This Row],[Material Type]]="Ligand","D13","D12"))</f>
        <v>D12</v>
      </c>
      <c r="AI623" s="414" t="str">
        <f ca="1">IF(RawMaterials[[#This Row],[Lab Quote Count]]&gt;1,10^RawMaterials[[#This Row],[Lab Log-Log Intercept]]*INDIRECT(RawMaterials[[#This Row],[Basis Cell]])^RawMaterials[[#This Row],[Lab Log-Log Slope]],"&gt;&gt;&gt; Enter 2 or more lab quotes &lt;&lt;&lt;")</f>
        <v>&gt;&gt;&gt; Enter 2 or more lab quotes &lt;&lt;&lt;</v>
      </c>
      <c r="AJ623"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3"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0.3</v>
      </c>
      <c r="AL623" s="415">
        <f>IF(ISTEXT(RawMaterials[[#This Row],[Unit price in quote year]]),"Check calcs",RawMaterials[[#This Row],[Unit price in quote year]]/VLOOKUP(RawMaterials[[#This Row],[Quote Year]],ChemPPI[],14,FALSE)*VLOOKUP(BasisYear,ChemPPI[],14,FALSE))</f>
        <v>0.3</v>
      </c>
      <c r="AM623" s="413" t="str">
        <f t="shared" si="10"/>
        <v>$/lb (2016)</v>
      </c>
    </row>
    <row r="624" spans="1:39">
      <c r="A624" s="405" t="s">
        <v>1846</v>
      </c>
      <c r="B624" s="406"/>
      <c r="C624" s="407"/>
      <c r="D624" s="406"/>
      <c r="E624" s="406">
        <v>50</v>
      </c>
      <c r="F624" s="406"/>
      <c r="G624" s="407"/>
      <c r="H624" s="407"/>
      <c r="I624" s="408"/>
      <c r="J624" s="407"/>
      <c r="K624" s="407"/>
      <c r="L624" s="407"/>
      <c r="M624" s="407"/>
      <c r="N624" s="407"/>
      <c r="O624" s="407"/>
      <c r="P624" s="409">
        <v>0.2</v>
      </c>
      <c r="Q624" s="406">
        <v>1</v>
      </c>
      <c r="R624" s="264" t="s">
        <v>20</v>
      </c>
      <c r="S624" s="406">
        <v>2016</v>
      </c>
      <c r="T624" s="266" t="s">
        <v>1851</v>
      </c>
      <c r="U624" s="410"/>
      <c r="V624" s="411"/>
      <c r="W624" s="407">
        <f>COUNT(RawMaterials[[#This Row],[Lab Quantity 1]:[Lab Quantity 4]])</f>
        <v>0</v>
      </c>
      <c r="X624"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4"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4"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4"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4" s="412" t="e">
        <f>RawMaterials[[#This Row],[Lab Price 1]]/RawMaterials[[#This Row],[Lab Q Model Units 1]]</f>
        <v>#N/A</v>
      </c>
      <c r="AC624" s="412" t="e">
        <f>RawMaterials[[#This Row],[Lab Price 2]]/RawMaterials[[#This Row],[Lab Q Model Units 2]]</f>
        <v>#N/A</v>
      </c>
      <c r="AD624" s="412" t="e">
        <f>RawMaterials[[#This Row],[Lab Price 3]]/RawMaterials[[#This Row],[Lab Q Model Units 3]]</f>
        <v>#N/A</v>
      </c>
      <c r="AE624" s="412" t="e">
        <f>RawMaterials[[#This Row],[Lab Price 4]]/RawMaterials[[#This Row],[Lab Q Model Units 4]]</f>
        <v>#N/A</v>
      </c>
      <c r="AF624" s="412" t="str">
        <f ca="1">IF(RawMaterials[[#This Row],[Lab Quote Count]]&gt;1,SLOPE(LOG(INDIRECT("RawMaterials[@[Lab Unit P 1]:[Lab Unit P "&amp;RawMaterials[[#This Row],[Lab Quote Count]]&amp;"]]")),LOG(INDIRECT("RawMaterials[@[Lab Q Model Units 1]:[Lab Q Model Units "&amp;RawMaterials[[#This Row],[Lab Quote Count]]&amp;"]]"))),"")</f>
        <v/>
      </c>
      <c r="AG624" s="412" t="str">
        <f ca="1">IF(RawMaterials[[#This Row],[Lab Quote Count]]&gt;1,INTERCEPT(LOG(INDIRECT("RawMaterials[@[Lab Unit P 1]:[Lab Unit P "&amp;RawMaterials[[#This Row],[Lab Quote Count]]&amp;"]]")),LOG(INDIRECT("RawMaterials[@[Lab Q Model Units 1]:[Lab Q Model Units "&amp;RawMaterials[[#This Row],[Lab Quote Count]]&amp;"]]"))),"")</f>
        <v/>
      </c>
      <c r="AH624" s="413" t="str">
        <f>IF(RawMaterials[[#This Row],[Material Type]]="Metal Precursor","D13",IF(RawMaterials[[#This Row],[Material Type]]="Ligand","D13","D12"))</f>
        <v>D12</v>
      </c>
      <c r="AI624" s="414" t="str">
        <f ca="1">IF(RawMaterials[[#This Row],[Lab Quote Count]]&gt;1,10^RawMaterials[[#This Row],[Lab Log-Log Intercept]]*INDIRECT(RawMaterials[[#This Row],[Basis Cell]])^RawMaterials[[#This Row],[Lab Log-Log Slope]],"&gt;&gt;&gt; Enter 2 or more lab quotes &lt;&lt;&lt;")</f>
        <v>&gt;&gt;&gt; Enter 2 or more lab quotes &lt;&lt;&lt;</v>
      </c>
      <c r="AJ624"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4"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0.2</v>
      </c>
      <c r="AL624" s="415">
        <f>IF(ISTEXT(RawMaterials[[#This Row],[Unit price in quote year]]),"Check calcs",RawMaterials[[#This Row],[Unit price in quote year]]/VLOOKUP(RawMaterials[[#This Row],[Quote Year]],ChemPPI[],14,FALSE)*VLOOKUP(BasisYear,ChemPPI[],14,FALSE))</f>
        <v>0.2</v>
      </c>
      <c r="AM624" s="413" t="str">
        <f t="shared" si="10"/>
        <v>$/lb (2016)</v>
      </c>
    </row>
    <row r="625" spans="1:39">
      <c r="A625" s="405" t="s">
        <v>1847</v>
      </c>
      <c r="B625" s="406"/>
      <c r="C625" s="407"/>
      <c r="D625" s="406"/>
      <c r="E625" s="406">
        <v>100</v>
      </c>
      <c r="F625" s="406"/>
      <c r="G625" s="407"/>
      <c r="H625" s="407"/>
      <c r="I625" s="408"/>
      <c r="J625" s="407"/>
      <c r="K625" s="407"/>
      <c r="L625" s="407"/>
      <c r="M625" s="407"/>
      <c r="N625" s="407"/>
      <c r="O625" s="407"/>
      <c r="P625" s="409">
        <v>0.05</v>
      </c>
      <c r="Q625" s="406">
        <v>1</v>
      </c>
      <c r="R625" s="264" t="s">
        <v>20</v>
      </c>
      <c r="S625" s="406">
        <v>2016</v>
      </c>
      <c r="T625" s="266" t="s">
        <v>1851</v>
      </c>
      <c r="U625" s="410"/>
      <c r="V625" s="411"/>
      <c r="W625" s="407">
        <f>COUNT(RawMaterials[[#This Row],[Lab Quantity 1]:[Lab Quantity 4]])</f>
        <v>0</v>
      </c>
      <c r="X625"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5"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5"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5"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5" s="412" t="e">
        <f>RawMaterials[[#This Row],[Lab Price 1]]/RawMaterials[[#This Row],[Lab Q Model Units 1]]</f>
        <v>#N/A</v>
      </c>
      <c r="AC625" s="412" t="e">
        <f>RawMaterials[[#This Row],[Lab Price 2]]/RawMaterials[[#This Row],[Lab Q Model Units 2]]</f>
        <v>#N/A</v>
      </c>
      <c r="AD625" s="412" t="e">
        <f>RawMaterials[[#This Row],[Lab Price 3]]/RawMaterials[[#This Row],[Lab Q Model Units 3]]</f>
        <v>#N/A</v>
      </c>
      <c r="AE625" s="412" t="e">
        <f>RawMaterials[[#This Row],[Lab Price 4]]/RawMaterials[[#This Row],[Lab Q Model Units 4]]</f>
        <v>#N/A</v>
      </c>
      <c r="AF625" s="412" t="str">
        <f ca="1">IF(RawMaterials[[#This Row],[Lab Quote Count]]&gt;1,SLOPE(LOG(INDIRECT("RawMaterials[@[Lab Unit P 1]:[Lab Unit P "&amp;RawMaterials[[#This Row],[Lab Quote Count]]&amp;"]]")),LOG(INDIRECT("RawMaterials[@[Lab Q Model Units 1]:[Lab Q Model Units "&amp;RawMaterials[[#This Row],[Lab Quote Count]]&amp;"]]"))),"")</f>
        <v/>
      </c>
      <c r="AG625" s="412" t="str">
        <f ca="1">IF(RawMaterials[[#This Row],[Lab Quote Count]]&gt;1,INTERCEPT(LOG(INDIRECT("RawMaterials[@[Lab Unit P 1]:[Lab Unit P "&amp;RawMaterials[[#This Row],[Lab Quote Count]]&amp;"]]")),LOG(INDIRECT("RawMaterials[@[Lab Q Model Units 1]:[Lab Q Model Units "&amp;RawMaterials[[#This Row],[Lab Quote Count]]&amp;"]]"))),"")</f>
        <v/>
      </c>
      <c r="AH625" s="413" t="str">
        <f>IF(RawMaterials[[#This Row],[Material Type]]="Metal Precursor","D13",IF(RawMaterials[[#This Row],[Material Type]]="Ligand","D13","D12"))</f>
        <v>D12</v>
      </c>
      <c r="AI625" s="414" t="str">
        <f ca="1">IF(RawMaterials[[#This Row],[Lab Quote Count]]&gt;1,10^RawMaterials[[#This Row],[Lab Log-Log Intercept]]*INDIRECT(RawMaterials[[#This Row],[Basis Cell]])^RawMaterials[[#This Row],[Lab Log-Log Slope]],"&gt;&gt;&gt; Enter 2 or more lab quotes &lt;&lt;&lt;")</f>
        <v>&gt;&gt;&gt; Enter 2 or more lab quotes &lt;&lt;&lt;</v>
      </c>
      <c r="AJ625"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5"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5" s="415">
        <f>IF(ISTEXT(RawMaterials[[#This Row],[Unit price in quote year]]),"Check calcs",RawMaterials[[#This Row],[Unit price in quote year]]/VLOOKUP(RawMaterials[[#This Row],[Quote Year]],ChemPPI[],14,FALSE)*VLOOKUP(BasisYear,ChemPPI[],14,FALSE))</f>
        <v>0.05</v>
      </c>
      <c r="AM625" s="413" t="str">
        <f t="shared" si="10"/>
        <v>$/lb (2016)</v>
      </c>
    </row>
    <row r="626" spans="1:39">
      <c r="A626" s="405" t="s">
        <v>388</v>
      </c>
      <c r="B626" s="406"/>
      <c r="C626" s="407"/>
      <c r="D626" s="406"/>
      <c r="E626" s="406">
        <v>100</v>
      </c>
      <c r="F626" s="406"/>
      <c r="G626" s="407"/>
      <c r="H626" s="407"/>
      <c r="I626" s="408"/>
      <c r="J626" s="407"/>
      <c r="K626" s="407"/>
      <c r="L626" s="407"/>
      <c r="M626" s="407"/>
      <c r="N626" s="407"/>
      <c r="O626" s="407"/>
      <c r="P626" s="409">
        <v>0.05</v>
      </c>
      <c r="Q626" s="406">
        <v>1</v>
      </c>
      <c r="R626" s="264" t="s">
        <v>20</v>
      </c>
      <c r="S626" s="406">
        <v>2016</v>
      </c>
      <c r="T626" s="266" t="s">
        <v>1851</v>
      </c>
      <c r="U626" s="410"/>
      <c r="V626" s="411"/>
      <c r="W626" s="407">
        <f>COUNT(RawMaterials[[#This Row],[Lab Quantity 1]:[Lab Quantity 4]])</f>
        <v>0</v>
      </c>
      <c r="X626"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6"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6"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6"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6" s="412" t="e">
        <f>RawMaterials[[#This Row],[Lab Price 1]]/RawMaterials[[#This Row],[Lab Q Model Units 1]]</f>
        <v>#N/A</v>
      </c>
      <c r="AC626" s="412" t="e">
        <f>RawMaterials[[#This Row],[Lab Price 2]]/RawMaterials[[#This Row],[Lab Q Model Units 2]]</f>
        <v>#N/A</v>
      </c>
      <c r="AD626" s="412" t="e">
        <f>RawMaterials[[#This Row],[Lab Price 3]]/RawMaterials[[#This Row],[Lab Q Model Units 3]]</f>
        <v>#N/A</v>
      </c>
      <c r="AE626" s="412" t="e">
        <f>RawMaterials[[#This Row],[Lab Price 4]]/RawMaterials[[#This Row],[Lab Q Model Units 4]]</f>
        <v>#N/A</v>
      </c>
      <c r="AF626" s="412" t="str">
        <f ca="1">IF(RawMaterials[[#This Row],[Lab Quote Count]]&gt;1,SLOPE(LOG(INDIRECT("RawMaterials[@[Lab Unit P 1]:[Lab Unit P "&amp;RawMaterials[[#This Row],[Lab Quote Count]]&amp;"]]")),LOG(INDIRECT("RawMaterials[@[Lab Q Model Units 1]:[Lab Q Model Units "&amp;RawMaterials[[#This Row],[Lab Quote Count]]&amp;"]]"))),"")</f>
        <v/>
      </c>
      <c r="AG626" s="412" t="str">
        <f ca="1">IF(RawMaterials[[#This Row],[Lab Quote Count]]&gt;1,INTERCEPT(LOG(INDIRECT("RawMaterials[@[Lab Unit P 1]:[Lab Unit P "&amp;RawMaterials[[#This Row],[Lab Quote Count]]&amp;"]]")),LOG(INDIRECT("RawMaterials[@[Lab Q Model Units 1]:[Lab Q Model Units "&amp;RawMaterials[[#This Row],[Lab Quote Count]]&amp;"]]"))),"")</f>
        <v/>
      </c>
      <c r="AH626" s="413" t="str">
        <f>IF(RawMaterials[[#This Row],[Material Type]]="Metal Precursor","D13",IF(RawMaterials[[#This Row],[Material Type]]="Ligand","D13","D12"))</f>
        <v>D12</v>
      </c>
      <c r="AI626" s="414" t="str">
        <f ca="1">IF(RawMaterials[[#This Row],[Lab Quote Count]]&gt;1,10^RawMaterials[[#This Row],[Lab Log-Log Intercept]]*INDIRECT(RawMaterials[[#This Row],[Basis Cell]])^RawMaterials[[#This Row],[Lab Log-Log Slope]],"&gt;&gt;&gt; Enter 2 or more lab quotes &lt;&lt;&lt;")</f>
        <v>&gt;&gt;&gt; Enter 2 or more lab quotes &lt;&lt;&lt;</v>
      </c>
      <c r="AJ626"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6"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0.05</v>
      </c>
      <c r="AL626" s="415">
        <f>IF(ISTEXT(RawMaterials[[#This Row],[Unit price in quote year]]),"Check calcs",RawMaterials[[#This Row],[Unit price in quote year]]/VLOOKUP(RawMaterials[[#This Row],[Quote Year]],ChemPPI[],14,FALSE)*VLOOKUP(BasisYear,ChemPPI[],14,FALSE))</f>
        <v>0.05</v>
      </c>
      <c r="AM626" s="413" t="str">
        <f t="shared" si="10"/>
        <v>$/lb (2016)</v>
      </c>
    </row>
    <row r="627" spans="1:39">
      <c r="A627" s="405" t="s">
        <v>1848</v>
      </c>
      <c r="B627" s="406"/>
      <c r="C627" s="407"/>
      <c r="D627" s="406"/>
      <c r="E627" s="406">
        <v>100</v>
      </c>
      <c r="F627" s="406"/>
      <c r="G627" s="407"/>
      <c r="H627" s="407"/>
      <c r="I627" s="408"/>
      <c r="J627" s="407"/>
      <c r="K627" s="407"/>
      <c r="L627" s="407"/>
      <c r="M627" s="407"/>
      <c r="N627" s="407"/>
      <c r="O627" s="407"/>
      <c r="P627" s="409">
        <v>1.5</v>
      </c>
      <c r="Q627" s="406">
        <v>1</v>
      </c>
      <c r="R627" s="264" t="s">
        <v>20</v>
      </c>
      <c r="S627" s="406">
        <v>2016</v>
      </c>
      <c r="T627" s="266" t="s">
        <v>1851</v>
      </c>
      <c r="U627" s="410"/>
      <c r="V627" s="411"/>
      <c r="W627" s="407">
        <f>COUNT(RawMaterials[[#This Row],[Lab Quantity 1]:[Lab Quantity 4]])</f>
        <v>0</v>
      </c>
      <c r="X627"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7"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7"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7"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7" s="412" t="e">
        <f>RawMaterials[[#This Row],[Lab Price 1]]/RawMaterials[[#This Row],[Lab Q Model Units 1]]</f>
        <v>#N/A</v>
      </c>
      <c r="AC627" s="412" t="e">
        <f>RawMaterials[[#This Row],[Lab Price 2]]/RawMaterials[[#This Row],[Lab Q Model Units 2]]</f>
        <v>#N/A</v>
      </c>
      <c r="AD627" s="412" t="e">
        <f>RawMaterials[[#This Row],[Lab Price 3]]/RawMaterials[[#This Row],[Lab Q Model Units 3]]</f>
        <v>#N/A</v>
      </c>
      <c r="AE627" s="412" t="e">
        <f>RawMaterials[[#This Row],[Lab Price 4]]/RawMaterials[[#This Row],[Lab Q Model Units 4]]</f>
        <v>#N/A</v>
      </c>
      <c r="AF627" s="412" t="str">
        <f ca="1">IF(RawMaterials[[#This Row],[Lab Quote Count]]&gt;1,SLOPE(LOG(INDIRECT("RawMaterials[@[Lab Unit P 1]:[Lab Unit P "&amp;RawMaterials[[#This Row],[Lab Quote Count]]&amp;"]]")),LOG(INDIRECT("RawMaterials[@[Lab Q Model Units 1]:[Lab Q Model Units "&amp;RawMaterials[[#This Row],[Lab Quote Count]]&amp;"]]"))),"")</f>
        <v/>
      </c>
      <c r="AG627" s="412" t="str">
        <f ca="1">IF(RawMaterials[[#This Row],[Lab Quote Count]]&gt;1,INTERCEPT(LOG(INDIRECT("RawMaterials[@[Lab Unit P 1]:[Lab Unit P "&amp;RawMaterials[[#This Row],[Lab Quote Count]]&amp;"]]")),LOG(INDIRECT("RawMaterials[@[Lab Q Model Units 1]:[Lab Q Model Units "&amp;RawMaterials[[#This Row],[Lab Quote Count]]&amp;"]]"))),"")</f>
        <v/>
      </c>
      <c r="AH627" s="413" t="str">
        <f>IF(RawMaterials[[#This Row],[Material Type]]="Metal Precursor","D13",IF(RawMaterials[[#This Row],[Material Type]]="Ligand","D13","D12"))</f>
        <v>D12</v>
      </c>
      <c r="AI627" s="414" t="str">
        <f ca="1">IF(RawMaterials[[#This Row],[Lab Quote Count]]&gt;1,10^RawMaterials[[#This Row],[Lab Log-Log Intercept]]*INDIRECT(RawMaterials[[#This Row],[Basis Cell]])^RawMaterials[[#This Row],[Lab Log-Log Slope]],"&gt;&gt;&gt; Enter 2 or more lab quotes &lt;&lt;&lt;")</f>
        <v>&gt;&gt;&gt; Enter 2 or more lab quotes &lt;&lt;&lt;</v>
      </c>
      <c r="AJ627"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7"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1.5</v>
      </c>
      <c r="AL627" s="415">
        <f>IF(ISTEXT(RawMaterials[[#This Row],[Unit price in quote year]]),"Check calcs",RawMaterials[[#This Row],[Unit price in quote year]]/VLOOKUP(RawMaterials[[#This Row],[Quote Year]],ChemPPI[],14,FALSE)*VLOOKUP(BasisYear,ChemPPI[],14,FALSE))</f>
        <v>1.5</v>
      </c>
      <c r="AM627" s="413" t="str">
        <f t="shared" si="10"/>
        <v>$/lb (2016)</v>
      </c>
    </row>
    <row r="628" spans="1:39">
      <c r="A628" s="405" t="s">
        <v>1849</v>
      </c>
      <c r="B628" s="406"/>
      <c r="C628" s="407"/>
      <c r="D628" s="406"/>
      <c r="E628" s="406">
        <v>31</v>
      </c>
      <c r="F628" s="406"/>
      <c r="G628" s="407"/>
      <c r="H628" s="407"/>
      <c r="I628" s="408"/>
      <c r="J628" s="407"/>
      <c r="K628" s="407"/>
      <c r="L628" s="407"/>
      <c r="M628" s="407"/>
      <c r="N628" s="407"/>
      <c r="O628" s="407"/>
      <c r="P628" s="409">
        <v>7.0000000000000007E-2</v>
      </c>
      <c r="Q628" s="406">
        <v>1</v>
      </c>
      <c r="R628" s="264" t="s">
        <v>20</v>
      </c>
      <c r="S628" s="406">
        <v>2016</v>
      </c>
      <c r="T628" s="266" t="s">
        <v>1851</v>
      </c>
      <c r="U628" s="410"/>
      <c r="V628" s="411"/>
      <c r="W628" s="407">
        <f>COUNT(RawMaterials[[#This Row],[Lab Quantity 1]:[Lab Quantity 4]])</f>
        <v>0</v>
      </c>
      <c r="X628"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8"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8"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8"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8" s="412" t="e">
        <f>RawMaterials[[#This Row],[Lab Price 1]]/RawMaterials[[#This Row],[Lab Q Model Units 1]]</f>
        <v>#N/A</v>
      </c>
      <c r="AC628" s="412" t="e">
        <f>RawMaterials[[#This Row],[Lab Price 2]]/RawMaterials[[#This Row],[Lab Q Model Units 2]]</f>
        <v>#N/A</v>
      </c>
      <c r="AD628" s="412" t="e">
        <f>RawMaterials[[#This Row],[Lab Price 3]]/RawMaterials[[#This Row],[Lab Q Model Units 3]]</f>
        <v>#N/A</v>
      </c>
      <c r="AE628" s="412" t="e">
        <f>RawMaterials[[#This Row],[Lab Price 4]]/RawMaterials[[#This Row],[Lab Q Model Units 4]]</f>
        <v>#N/A</v>
      </c>
      <c r="AF628" s="412" t="str">
        <f ca="1">IF(RawMaterials[[#This Row],[Lab Quote Count]]&gt;1,SLOPE(LOG(INDIRECT("RawMaterials[@[Lab Unit P 1]:[Lab Unit P "&amp;RawMaterials[[#This Row],[Lab Quote Count]]&amp;"]]")),LOG(INDIRECT("RawMaterials[@[Lab Q Model Units 1]:[Lab Q Model Units "&amp;RawMaterials[[#This Row],[Lab Quote Count]]&amp;"]]"))),"")</f>
        <v/>
      </c>
      <c r="AG628" s="412" t="str">
        <f ca="1">IF(RawMaterials[[#This Row],[Lab Quote Count]]&gt;1,INTERCEPT(LOG(INDIRECT("RawMaterials[@[Lab Unit P 1]:[Lab Unit P "&amp;RawMaterials[[#This Row],[Lab Quote Count]]&amp;"]]")),LOG(INDIRECT("RawMaterials[@[Lab Q Model Units 1]:[Lab Q Model Units "&amp;RawMaterials[[#This Row],[Lab Quote Count]]&amp;"]]"))),"")</f>
        <v/>
      </c>
      <c r="AH628" s="413" t="str">
        <f>IF(RawMaterials[[#This Row],[Material Type]]="Metal Precursor","D13",IF(RawMaterials[[#This Row],[Material Type]]="Ligand","D13","D12"))</f>
        <v>D12</v>
      </c>
      <c r="AI628" s="414" t="str">
        <f ca="1">IF(RawMaterials[[#This Row],[Lab Quote Count]]&gt;1,10^RawMaterials[[#This Row],[Lab Log-Log Intercept]]*INDIRECT(RawMaterials[[#This Row],[Basis Cell]])^RawMaterials[[#This Row],[Lab Log-Log Slope]],"&gt;&gt;&gt; Enter 2 or more lab quotes &lt;&lt;&lt;")</f>
        <v>&gt;&gt;&gt; Enter 2 or more lab quotes &lt;&lt;&lt;</v>
      </c>
      <c r="AJ628"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8"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7.0000000000000007E-2</v>
      </c>
      <c r="AL628" s="415">
        <f>IF(ISTEXT(RawMaterials[[#This Row],[Unit price in quote year]]),"Check calcs",RawMaterials[[#This Row],[Unit price in quote year]]/VLOOKUP(RawMaterials[[#This Row],[Quote Year]],ChemPPI[],14,FALSE)*VLOOKUP(BasisYear,ChemPPI[],14,FALSE))</f>
        <v>7.0000000000000007E-2</v>
      </c>
      <c r="AM628" s="413" t="str">
        <f t="shared" si="10"/>
        <v>$/lb (2016)</v>
      </c>
    </row>
    <row r="629" spans="1:39">
      <c r="A629" s="405" t="s">
        <v>1850</v>
      </c>
      <c r="B629" s="406"/>
      <c r="C629" s="407"/>
      <c r="D629" s="406"/>
      <c r="E629" s="406">
        <v>28</v>
      </c>
      <c r="F629" s="406"/>
      <c r="G629" s="407"/>
      <c r="H629" s="407"/>
      <c r="I629" s="408"/>
      <c r="J629" s="407"/>
      <c r="K629" s="407"/>
      <c r="L629" s="407"/>
      <c r="M629" s="407"/>
      <c r="N629" s="407"/>
      <c r="O629" s="407"/>
      <c r="P629" s="409">
        <v>0.1</v>
      </c>
      <c r="Q629" s="406">
        <v>1</v>
      </c>
      <c r="R629" s="264" t="s">
        <v>20</v>
      </c>
      <c r="S629" s="406">
        <v>2016</v>
      </c>
      <c r="T629" s="266" t="s">
        <v>1851</v>
      </c>
      <c r="U629" s="410"/>
      <c r="V629" s="411"/>
      <c r="W629" s="407">
        <f>COUNT(RawMaterials[[#This Row],[Lab Quantity 1]:[Lab Quantity 4]])</f>
        <v>0</v>
      </c>
      <c r="X629" s="412" t="e">
        <f>IF(VLOOKUP(RawMaterials[[#This Row],[Lab Units]],UnitConv[],6,FALSE)="Yes",RawMaterials[[#This Row],[Lab Quantity 1]]*VLOOKUP(RawMaterials[[#This Row],[Lab Units]],UnitConv[],7,FALSE)*RawMaterials[[#This Row],[Density (g/mL)]],RawMaterials[[#This Row],[Lab Quantity 1]]*VLOOKUP(RawMaterials[[#This Row],[Lab Units]],UnitConv[],5,FALSE))/VLOOKUP(OutMassUnit,UnitConv[],5,FALSE)</f>
        <v>#N/A</v>
      </c>
      <c r="Y629" s="412" t="e">
        <f>IF(VLOOKUP(RawMaterials[[#This Row],[Lab Units]],UnitConv[],6,FALSE)="Yes",RawMaterials[[#This Row],[Lab Quantity 2]]*VLOOKUP(RawMaterials[[#This Row],[Lab Units]],UnitConv[],7,FALSE)*RawMaterials[[#This Row],[Density (g/mL)]],RawMaterials[[#This Row],[Lab Quantity 2]]*VLOOKUP(RawMaterials[[#This Row],[Lab Units]],UnitConv[],5,FALSE))/VLOOKUP(OutMassUnit,UnitConv[],5,FALSE)</f>
        <v>#N/A</v>
      </c>
      <c r="Z629" s="412" t="e">
        <f>IF(VLOOKUP(RawMaterials[[#This Row],[Lab Units]],UnitConv[],6,FALSE)="Yes",RawMaterials[[#This Row],[Lab Quantity 3]]*VLOOKUP(RawMaterials[[#This Row],[Lab Units]],UnitConv[],7,FALSE)*RawMaterials[[#This Row],[Density (g/mL)]],RawMaterials[[#This Row],[Lab Quantity 3]]*VLOOKUP(RawMaterials[[#This Row],[Lab Units]],UnitConv[],5,FALSE))/VLOOKUP(OutMassUnit,UnitConv[],5,FALSE)</f>
        <v>#N/A</v>
      </c>
      <c r="AA629" s="412" t="e">
        <f>IF(VLOOKUP(RawMaterials[[#This Row],[Lab Units]],UnitConv[],6,FALSE)="Yes",RawMaterials[[#This Row],[Lab Quantity 4]]*VLOOKUP(RawMaterials[[#This Row],[Lab Units]],UnitConv[],7,FALSE)*RawMaterials[[#This Row],[Density (g/mL)]],RawMaterials[[#This Row],[Lab Quantity 4]]*VLOOKUP(RawMaterials[[#This Row],[Lab Units]],UnitConv[],5,FALSE))/VLOOKUP(OutMassUnit,UnitConv[],5,FALSE)</f>
        <v>#N/A</v>
      </c>
      <c r="AB629" s="412" t="e">
        <f>RawMaterials[[#This Row],[Lab Price 1]]/RawMaterials[[#This Row],[Lab Q Model Units 1]]</f>
        <v>#N/A</v>
      </c>
      <c r="AC629" s="412" t="e">
        <f>RawMaterials[[#This Row],[Lab Price 2]]/RawMaterials[[#This Row],[Lab Q Model Units 2]]</f>
        <v>#N/A</v>
      </c>
      <c r="AD629" s="412" t="e">
        <f>RawMaterials[[#This Row],[Lab Price 3]]/RawMaterials[[#This Row],[Lab Q Model Units 3]]</f>
        <v>#N/A</v>
      </c>
      <c r="AE629" s="412" t="e">
        <f>RawMaterials[[#This Row],[Lab Price 4]]/RawMaterials[[#This Row],[Lab Q Model Units 4]]</f>
        <v>#N/A</v>
      </c>
      <c r="AF629" s="412" t="str">
        <f ca="1">IF(RawMaterials[[#This Row],[Lab Quote Count]]&gt;1,SLOPE(LOG(INDIRECT("RawMaterials[@[Lab Unit P 1]:[Lab Unit P "&amp;RawMaterials[[#This Row],[Lab Quote Count]]&amp;"]]")),LOG(INDIRECT("RawMaterials[@[Lab Q Model Units 1]:[Lab Q Model Units "&amp;RawMaterials[[#This Row],[Lab Quote Count]]&amp;"]]"))),"")</f>
        <v/>
      </c>
      <c r="AG629" s="412" t="str">
        <f ca="1">IF(RawMaterials[[#This Row],[Lab Quote Count]]&gt;1,INTERCEPT(LOG(INDIRECT("RawMaterials[@[Lab Unit P 1]:[Lab Unit P "&amp;RawMaterials[[#This Row],[Lab Quote Count]]&amp;"]]")),LOG(INDIRECT("RawMaterials[@[Lab Q Model Units 1]:[Lab Q Model Units "&amp;RawMaterials[[#This Row],[Lab Quote Count]]&amp;"]]"))),"")</f>
        <v/>
      </c>
      <c r="AH629" s="413" t="str">
        <f>IF(RawMaterials[[#This Row],[Material Type]]="Metal Precursor","D13",IF(RawMaterials[[#This Row],[Material Type]]="Ligand","D13","D12"))</f>
        <v>D12</v>
      </c>
      <c r="AI629" s="414" t="str">
        <f ca="1">IF(RawMaterials[[#This Row],[Lab Quote Count]]&gt;1,10^RawMaterials[[#This Row],[Lab Log-Log Intercept]]*INDIRECT(RawMaterials[[#This Row],[Basis Cell]])^RawMaterials[[#This Row],[Lab Log-Log Slope]],"&gt;&gt;&gt; Enter 2 or more lab quotes &lt;&lt;&lt;")</f>
        <v>&gt;&gt;&gt; Enter 2 or more lab quotes &lt;&lt;&lt;</v>
      </c>
      <c r="AJ629" s="412">
        <f>IF(VLOOKUP(RawMaterials[[#This Row],[Bulk Quote Units]],UnitConv[],6,FALSE)="Yes",IF(ISBLANK(RawMaterials[[#This Row],[Density (g/mL)]]),"&gt;&gt;&gt; Enter Density to use volume units &lt;&lt;&lt;",RawMaterials[[#This Row],[Bulk Quote Quantity]]*VLOOKUP(RawMaterials[[#This Row],[Bulk Quote Units]],UnitConv[],7,FALSE)*RawMaterials[[#This Row],[Density (g/mL)]]/VLOOKUP(OutMassUnit,UnitConv[],5,FALSE)),RawMaterials[[#This Row],[Bulk Quote Quantity]]*VLOOKUP(RawMaterials[[#This Row],[Bulk Quote Units]],UnitConv[],5,FALSE)/VLOOKUP(OutMassUnit,UnitConv[],5,FALSE))</f>
        <v>1</v>
      </c>
      <c r="AK629" s="415">
        <f>IFERROR(IF(RawMaterials[[#This Row],[Lab-Scale Log Fit?]]="Lab",RawMaterials[[#This Row],[Lab Forecast Unit Price (Output Mass Units)]],RawMaterials[[#This Row],[Bulk Quote Price ($)]]/RawMaterials[[#This Row],[Bulk quote quantity in model units]]),IF(RawMaterials[[#This Row],[Lab-Scale Log Fit?]]="Lab",RawMaterials[[#This Row],[Lab Forecast Unit Price (Output Mass Units)]],RawMaterials[[#This Row],[Bulk quote quantity in model units]]))</f>
        <v>0.1</v>
      </c>
      <c r="AL629" s="415">
        <f>IF(ISTEXT(RawMaterials[[#This Row],[Unit price in quote year]]),"Check calcs",RawMaterials[[#This Row],[Unit price in quote year]]/VLOOKUP(RawMaterials[[#This Row],[Quote Year]],ChemPPI[],14,FALSE)*VLOOKUP(BasisYear,ChemPPI[],14,FALSE))</f>
        <v>0.1</v>
      </c>
      <c r="AM629" s="413" t="str">
        <f t="shared" si="10"/>
        <v>$/lb (2016)</v>
      </c>
    </row>
  </sheetData>
  <conditionalFormatting sqref="B3">
    <cfRule type="containsBlanks" dxfId="112" priority="5">
      <formula>LEN(TRIM(B3))=0</formula>
    </cfRule>
  </conditionalFormatting>
  <conditionalFormatting sqref="B8">
    <cfRule type="containsBlanks" dxfId="111" priority="4">
      <formula>LEN(TRIM(B8))=0</formula>
    </cfRule>
  </conditionalFormatting>
  <conditionalFormatting sqref="B6">
    <cfRule type="containsBlanks" dxfId="110" priority="3">
      <formula>LEN(TRIM(B6))=0</formula>
    </cfRule>
  </conditionalFormatting>
  <conditionalFormatting sqref="B12">
    <cfRule type="containsBlanks" dxfId="109" priority="2">
      <formula>LEN(TRIM(B12))=0</formula>
    </cfRule>
  </conditionalFormatting>
  <conditionalFormatting sqref="B13">
    <cfRule type="containsBlanks" dxfId="108" priority="1">
      <formula>LEN(TRIM(B13))=0</formula>
    </cfRule>
  </conditionalFormatting>
  <dataValidations count="3">
    <dataValidation type="list" allowBlank="1" showInputMessage="1" showErrorMessage="1" sqref="C12:C13" xr:uid="{00000000-0002-0000-0D00-000000000000}">
      <formula1>MassUnits</formula1>
    </dataValidation>
    <dataValidation type="list" allowBlank="1" showInputMessage="1" showErrorMessage="1" sqref="K16:K629 R16:R629" xr:uid="{229B424A-9EAD-9140-ABA0-B581106C136A}">
      <formula1>Units</formula1>
    </dataValidation>
    <dataValidation type="list" allowBlank="1" showInputMessage="1" showErrorMessage="1" sqref="F16:F629" xr:uid="{692CE238-9FC9-BC49-855B-722C9C07C250}">
      <formula1>"Lab,Bulk"</formula1>
    </dataValidation>
  </dataValidations>
  <pageMargins left="0.75" right="0.75" top="1" bottom="1" header="0.5" footer="0.5"/>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B79C-09CA-1B44-A391-6C22CEF32A51}">
  <dimension ref="A2:E25"/>
  <sheetViews>
    <sheetView workbookViewId="0"/>
  </sheetViews>
  <sheetFormatPr baseColWidth="10" defaultRowHeight="16"/>
  <cols>
    <col min="1" max="1" width="32.6640625" customWidth="1"/>
    <col min="2" max="2" width="17.83203125" customWidth="1"/>
    <col min="3" max="3" width="21" customWidth="1"/>
    <col min="4" max="4" width="19.6640625" customWidth="1"/>
    <col min="5" max="5" width="45" bestFit="1" customWidth="1"/>
  </cols>
  <sheetData>
    <row r="2" spans="1:5" s="242" customFormat="1">
      <c r="A2" s="183" t="s">
        <v>938</v>
      </c>
    </row>
    <row r="3" spans="1:5" s="243" customFormat="1">
      <c r="A3" s="183"/>
    </row>
    <row r="4" spans="1:5">
      <c r="A4" t="s">
        <v>937</v>
      </c>
      <c r="B4" t="s">
        <v>934</v>
      </c>
      <c r="C4" t="s">
        <v>935</v>
      </c>
      <c r="D4" t="s">
        <v>936</v>
      </c>
      <c r="E4" t="s">
        <v>207</v>
      </c>
    </row>
    <row r="5" spans="1:5">
      <c r="A5" t="s">
        <v>941</v>
      </c>
      <c r="B5">
        <v>100</v>
      </c>
      <c r="C5">
        <v>150</v>
      </c>
      <c r="E5" t="s">
        <v>1077</v>
      </c>
    </row>
    <row r="6" spans="1:5">
      <c r="A6" t="s">
        <v>924</v>
      </c>
      <c r="B6">
        <v>100</v>
      </c>
      <c r="C6">
        <v>200</v>
      </c>
      <c r="D6">
        <v>300</v>
      </c>
      <c r="E6" t="s">
        <v>58</v>
      </c>
    </row>
    <row r="7" spans="1:5">
      <c r="A7" t="s">
        <v>930</v>
      </c>
      <c r="B7">
        <v>50</v>
      </c>
      <c r="E7" t="s">
        <v>1078</v>
      </c>
    </row>
    <row r="8" spans="1:5">
      <c r="A8" t="s">
        <v>1076</v>
      </c>
      <c r="B8">
        <v>75</v>
      </c>
      <c r="C8">
        <v>100</v>
      </c>
      <c r="D8">
        <v>200</v>
      </c>
      <c r="E8" t="s">
        <v>58</v>
      </c>
    </row>
    <row r="9" spans="1:5">
      <c r="A9" t="s">
        <v>1075</v>
      </c>
      <c r="B9">
        <v>100</v>
      </c>
      <c r="C9">
        <v>150</v>
      </c>
      <c r="D9">
        <v>300</v>
      </c>
      <c r="E9" t="s">
        <v>949</v>
      </c>
    </row>
    <row r="10" spans="1:5">
      <c r="A10" t="s">
        <v>933</v>
      </c>
      <c r="C10">
        <v>300</v>
      </c>
      <c r="D10">
        <v>550</v>
      </c>
      <c r="E10" t="s">
        <v>952</v>
      </c>
    </row>
    <row r="11" spans="1:5">
      <c r="A11" t="s">
        <v>944</v>
      </c>
      <c r="B11">
        <v>100</v>
      </c>
      <c r="C11">
        <v>200</v>
      </c>
      <c r="D11">
        <v>425</v>
      </c>
      <c r="E11" t="s">
        <v>945</v>
      </c>
    </row>
    <row r="12" spans="1:5">
      <c r="A12" t="s">
        <v>927</v>
      </c>
      <c r="B12">
        <v>125</v>
      </c>
      <c r="C12">
        <v>175</v>
      </c>
      <c r="D12">
        <v>400</v>
      </c>
      <c r="E12" t="s">
        <v>58</v>
      </c>
    </row>
    <row r="13" spans="1:5">
      <c r="A13" t="s">
        <v>928</v>
      </c>
      <c r="B13">
        <v>75</v>
      </c>
      <c r="E13" t="s">
        <v>951</v>
      </c>
    </row>
    <row r="14" spans="1:5">
      <c r="A14" t="s">
        <v>926</v>
      </c>
      <c r="C14">
        <v>100</v>
      </c>
      <c r="D14">
        <v>300</v>
      </c>
      <c r="E14" t="s">
        <v>950</v>
      </c>
    </row>
    <row r="15" spans="1:5">
      <c r="A15" t="s">
        <v>925</v>
      </c>
      <c r="B15">
        <v>50</v>
      </c>
      <c r="C15">
        <v>75</v>
      </c>
      <c r="D15">
        <v>150</v>
      </c>
      <c r="E15" t="s">
        <v>58</v>
      </c>
    </row>
    <row r="16" spans="1:5">
      <c r="A16" t="s">
        <v>923</v>
      </c>
      <c r="B16">
        <v>75</v>
      </c>
      <c r="C16">
        <v>100</v>
      </c>
      <c r="D16">
        <v>200</v>
      </c>
      <c r="E16" t="s">
        <v>58</v>
      </c>
    </row>
    <row r="17" spans="1:5">
      <c r="A17" t="s">
        <v>948</v>
      </c>
      <c r="B17">
        <v>75</v>
      </c>
      <c r="E17" t="s">
        <v>959</v>
      </c>
    </row>
    <row r="18" spans="1:5">
      <c r="A18" t="s">
        <v>947</v>
      </c>
      <c r="C18">
        <v>225</v>
      </c>
      <c r="D18">
        <v>400</v>
      </c>
      <c r="E18" s="243" t="s">
        <v>960</v>
      </c>
    </row>
    <row r="19" spans="1:5">
      <c r="A19" t="s">
        <v>946</v>
      </c>
      <c r="C19">
        <v>175</v>
      </c>
      <c r="D19">
        <v>325</v>
      </c>
      <c r="E19" s="244" t="s">
        <v>960</v>
      </c>
    </row>
    <row r="20" spans="1:5">
      <c r="A20" t="s">
        <v>929</v>
      </c>
      <c r="B20">
        <v>50</v>
      </c>
      <c r="C20">
        <v>100</v>
      </c>
      <c r="D20">
        <v>200</v>
      </c>
      <c r="E20" t="s">
        <v>58</v>
      </c>
    </row>
    <row r="21" spans="1:5">
      <c r="A21" t="s">
        <v>940</v>
      </c>
      <c r="B21">
        <v>50</v>
      </c>
      <c r="C21">
        <v>100</v>
      </c>
      <c r="D21">
        <v>200</v>
      </c>
      <c r="E21" t="s">
        <v>58</v>
      </c>
    </row>
    <row r="22" spans="1:5">
      <c r="A22" t="s">
        <v>943</v>
      </c>
      <c r="B22">
        <v>75</v>
      </c>
      <c r="C22">
        <v>100</v>
      </c>
      <c r="D22">
        <v>200</v>
      </c>
      <c r="E22" t="s">
        <v>942</v>
      </c>
    </row>
    <row r="23" spans="1:5">
      <c r="A23" t="s">
        <v>931</v>
      </c>
      <c r="B23">
        <v>30</v>
      </c>
      <c r="C23">
        <v>60</v>
      </c>
      <c r="D23">
        <v>200</v>
      </c>
      <c r="E23" t="s">
        <v>58</v>
      </c>
    </row>
    <row r="24" spans="1:5">
      <c r="A24" t="s">
        <v>932</v>
      </c>
      <c r="B24">
        <v>100</v>
      </c>
      <c r="C24">
        <v>175</v>
      </c>
      <c r="D24">
        <v>600</v>
      </c>
      <c r="E24" t="s">
        <v>58</v>
      </c>
    </row>
    <row r="25" spans="1:5">
      <c r="A25" t="s">
        <v>939</v>
      </c>
      <c r="B25">
        <v>35</v>
      </c>
      <c r="C25">
        <v>75</v>
      </c>
      <c r="D25">
        <v>200</v>
      </c>
      <c r="E25" t="s">
        <v>58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R623"/>
  <sheetViews>
    <sheetView workbookViewId="0">
      <pane ySplit="1" topLeftCell="A2" activePane="bottomLeft" state="frozenSplit"/>
      <selection pane="bottomLeft" activeCell="A2" sqref="A2"/>
    </sheetView>
  </sheetViews>
  <sheetFormatPr baseColWidth="10" defaultColWidth="11" defaultRowHeight="16"/>
  <cols>
    <col min="1" max="1" width="33.5" bestFit="1" customWidth="1"/>
    <col min="2" max="2" width="49.5" bestFit="1" customWidth="1"/>
    <col min="3" max="3" width="41.33203125" customWidth="1"/>
    <col min="4" max="4" width="11.1640625" customWidth="1"/>
    <col min="5" max="5" width="11.6640625" customWidth="1"/>
    <col min="6" max="8" width="11" customWidth="1"/>
    <col min="9" max="10" width="11" style="207" customWidth="1"/>
    <col min="11" max="11" width="12.6640625" style="26" customWidth="1"/>
    <col min="12" max="12" width="11.6640625" style="26" customWidth="1"/>
    <col min="13" max="14" width="11" style="26" customWidth="1"/>
    <col min="15" max="15" width="11" customWidth="1"/>
    <col min="16" max="16" width="18.6640625" customWidth="1"/>
    <col min="17" max="17" width="11" style="29" customWidth="1"/>
    <col min="18" max="25" width="11" style="30" customWidth="1"/>
    <col min="26" max="26" width="11" style="208" customWidth="1"/>
    <col min="27" max="35" width="11" style="30" customWidth="1"/>
    <col min="36" max="36" width="11" style="208" customWidth="1"/>
    <col min="37" max="37" width="19.6640625" style="29" bestFit="1" customWidth="1"/>
    <col min="38" max="38" width="23.5" style="30" customWidth="1"/>
    <col min="39" max="39" width="11.5" style="30" customWidth="1"/>
    <col min="40" max="42" width="11" customWidth="1"/>
    <col min="44" max="44" width="11" style="217"/>
  </cols>
  <sheetData>
    <row r="1" spans="1:44" s="182" customFormat="1">
      <c r="A1" s="182" t="s">
        <v>778</v>
      </c>
      <c r="B1" s="182" t="s">
        <v>290</v>
      </c>
      <c r="C1" s="182" t="s">
        <v>219</v>
      </c>
      <c r="D1" s="182" t="s">
        <v>220</v>
      </c>
      <c r="E1" s="182" t="s">
        <v>221</v>
      </c>
      <c r="F1" s="182" t="s">
        <v>222</v>
      </c>
      <c r="G1" s="182" t="s">
        <v>223</v>
      </c>
      <c r="H1" s="182" t="s">
        <v>444</v>
      </c>
      <c r="I1" s="182" t="s">
        <v>606</v>
      </c>
      <c r="J1" s="182" t="s">
        <v>607</v>
      </c>
      <c r="K1" s="182" t="s">
        <v>296</v>
      </c>
      <c r="L1" s="182" t="s">
        <v>173</v>
      </c>
      <c r="M1" s="182" t="s">
        <v>294</v>
      </c>
      <c r="N1" s="182" t="s">
        <v>295</v>
      </c>
      <c r="O1" s="182" t="s">
        <v>109</v>
      </c>
      <c r="P1" s="182" t="s">
        <v>351</v>
      </c>
      <c r="Q1" s="182" t="s">
        <v>323</v>
      </c>
      <c r="R1" s="182" t="s">
        <v>324</v>
      </c>
      <c r="S1" s="182" t="s">
        <v>325</v>
      </c>
      <c r="T1" s="182" t="s">
        <v>326</v>
      </c>
      <c r="U1" s="182" t="s">
        <v>327</v>
      </c>
      <c r="V1" s="182" t="s">
        <v>328</v>
      </c>
      <c r="W1" s="182" t="s">
        <v>329</v>
      </c>
      <c r="X1" s="182" t="s">
        <v>346</v>
      </c>
      <c r="Y1" s="182" t="s">
        <v>347</v>
      </c>
      <c r="Z1" s="182" t="s">
        <v>711</v>
      </c>
      <c r="AA1" s="182" t="s">
        <v>330</v>
      </c>
      <c r="AB1" s="182" t="s">
        <v>331</v>
      </c>
      <c r="AC1" s="182" t="s">
        <v>332</v>
      </c>
      <c r="AD1" s="182" t="s">
        <v>333</v>
      </c>
      <c r="AE1" s="182" t="s">
        <v>334</v>
      </c>
      <c r="AF1" s="182" t="s">
        <v>335</v>
      </c>
      <c r="AG1" s="182" t="s">
        <v>336</v>
      </c>
      <c r="AH1" s="182" t="s">
        <v>348</v>
      </c>
      <c r="AI1" s="182" t="s">
        <v>349</v>
      </c>
      <c r="AJ1" s="182" t="s">
        <v>712</v>
      </c>
      <c r="AK1" s="182" t="s">
        <v>818</v>
      </c>
      <c r="AL1" s="182" t="s">
        <v>357</v>
      </c>
      <c r="AM1" s="182" t="s">
        <v>311</v>
      </c>
      <c r="AN1" s="182" t="s">
        <v>207</v>
      </c>
    </row>
    <row r="3" spans="1:44">
      <c r="B3" t="s">
        <v>445</v>
      </c>
      <c r="G3" s="9"/>
    </row>
    <row r="4" spans="1:44">
      <c r="A4" s="200" t="s">
        <v>445</v>
      </c>
      <c r="B4" t="s">
        <v>751</v>
      </c>
      <c r="C4" t="s">
        <v>446</v>
      </c>
      <c r="D4" s="200">
        <v>1</v>
      </c>
      <c r="E4" s="200">
        <v>8</v>
      </c>
      <c r="F4">
        <v>0</v>
      </c>
      <c r="G4">
        <v>2610</v>
      </c>
      <c r="H4">
        <v>0.34</v>
      </c>
      <c r="K4" s="200" t="s">
        <v>297</v>
      </c>
      <c r="L4" s="200" t="s">
        <v>442</v>
      </c>
      <c r="M4" s="31">
        <v>567</v>
      </c>
      <c r="N4" s="31"/>
      <c r="O4" s="31">
        <v>2013</v>
      </c>
      <c r="Q4" s="208" t="s">
        <v>337</v>
      </c>
      <c r="R4" s="208" t="s">
        <v>180</v>
      </c>
      <c r="S4" s="208" t="s">
        <v>353</v>
      </c>
      <c r="T4" s="208" t="s">
        <v>179</v>
      </c>
      <c r="U4" s="208" t="s">
        <v>344</v>
      </c>
      <c r="V4" s="208" t="s">
        <v>713</v>
      </c>
      <c r="W4" s="208" t="s">
        <v>356</v>
      </c>
      <c r="X4" s="208"/>
      <c r="Y4" s="208"/>
      <c r="AA4" s="208">
        <v>1</v>
      </c>
      <c r="AB4" s="208">
        <v>1.2</v>
      </c>
      <c r="AC4" s="208">
        <v>2</v>
      </c>
      <c r="AD4" s="208">
        <v>2.5</v>
      </c>
      <c r="AE4" s="208">
        <v>2.7</v>
      </c>
      <c r="AF4" s="208">
        <v>3</v>
      </c>
      <c r="AG4" s="208">
        <v>6</v>
      </c>
      <c r="AK4" s="29" t="s">
        <v>162</v>
      </c>
      <c r="AL4" s="30">
        <v>1.22</v>
      </c>
      <c r="AM4" s="30">
        <v>0</v>
      </c>
      <c r="AN4" t="s">
        <v>447</v>
      </c>
    </row>
    <row r="5" spans="1:44">
      <c r="A5" s="200" t="s">
        <v>445</v>
      </c>
      <c r="B5" t="s">
        <v>752</v>
      </c>
      <c r="C5" s="200" t="s">
        <v>446</v>
      </c>
      <c r="D5" s="200">
        <v>1</v>
      </c>
      <c r="E5" s="200">
        <v>8</v>
      </c>
      <c r="F5">
        <v>0</v>
      </c>
      <c r="G5">
        <v>3740</v>
      </c>
      <c r="H5">
        <v>0.17</v>
      </c>
      <c r="K5" s="200" t="s">
        <v>297</v>
      </c>
      <c r="L5" s="200" t="s">
        <v>442</v>
      </c>
      <c r="M5" s="31">
        <v>567</v>
      </c>
      <c r="N5" s="31"/>
      <c r="O5" s="31">
        <v>2013</v>
      </c>
      <c r="Q5" s="208" t="s">
        <v>337</v>
      </c>
      <c r="R5" s="208" t="s">
        <v>180</v>
      </c>
      <c r="S5" s="208" t="s">
        <v>353</v>
      </c>
      <c r="T5" s="208" t="s">
        <v>179</v>
      </c>
      <c r="U5" s="208" t="s">
        <v>344</v>
      </c>
      <c r="V5" s="208" t="s">
        <v>713</v>
      </c>
      <c r="W5" s="208" t="s">
        <v>356</v>
      </c>
      <c r="X5" s="208"/>
      <c r="Y5" s="208"/>
      <c r="AA5" s="208">
        <v>1</v>
      </c>
      <c r="AB5" s="208">
        <v>1.2</v>
      </c>
      <c r="AC5" s="208">
        <v>2</v>
      </c>
      <c r="AD5" s="208">
        <v>2.5</v>
      </c>
      <c r="AE5" s="208">
        <v>2.7</v>
      </c>
      <c r="AF5" s="208">
        <v>3</v>
      </c>
      <c r="AG5" s="208">
        <v>6</v>
      </c>
      <c r="AK5" s="29" t="s">
        <v>162</v>
      </c>
      <c r="AL5" s="30">
        <v>1.22</v>
      </c>
      <c r="AM5" s="30">
        <v>0</v>
      </c>
      <c r="AN5" s="200" t="s">
        <v>448</v>
      </c>
    </row>
    <row r="6" spans="1:44">
      <c r="A6" s="200" t="s">
        <v>445</v>
      </c>
      <c r="B6" t="s">
        <v>753</v>
      </c>
      <c r="C6" s="200" t="s">
        <v>446</v>
      </c>
      <c r="D6" s="200">
        <v>2</v>
      </c>
      <c r="E6" s="200">
        <v>60</v>
      </c>
      <c r="F6">
        <v>0</v>
      </c>
      <c r="G6">
        <v>3730</v>
      </c>
      <c r="H6">
        <v>0.54</v>
      </c>
      <c r="K6" s="200" t="s">
        <v>297</v>
      </c>
      <c r="L6" s="200" t="s">
        <v>442</v>
      </c>
      <c r="M6" s="31">
        <v>567</v>
      </c>
      <c r="N6" s="31"/>
      <c r="O6" s="31">
        <v>2013</v>
      </c>
      <c r="Q6" s="208" t="s">
        <v>337</v>
      </c>
      <c r="R6" s="208" t="s">
        <v>180</v>
      </c>
      <c r="S6" s="208" t="s">
        <v>353</v>
      </c>
      <c r="T6" s="208" t="s">
        <v>179</v>
      </c>
      <c r="U6" s="208" t="s">
        <v>344</v>
      </c>
      <c r="V6" s="208" t="s">
        <v>713</v>
      </c>
      <c r="W6" s="208" t="s">
        <v>356</v>
      </c>
      <c r="X6" s="208"/>
      <c r="Y6" s="208"/>
      <c r="AA6" s="208">
        <v>1</v>
      </c>
      <c r="AB6" s="208">
        <v>1.2</v>
      </c>
      <c r="AC6" s="208">
        <v>2</v>
      </c>
      <c r="AD6" s="208">
        <v>2.5</v>
      </c>
      <c r="AE6" s="208">
        <v>2.7</v>
      </c>
      <c r="AF6" s="208">
        <v>3</v>
      </c>
      <c r="AG6" s="208">
        <v>6</v>
      </c>
      <c r="AK6" s="29" t="s">
        <v>162</v>
      </c>
      <c r="AL6" s="30">
        <v>1.32</v>
      </c>
      <c r="AM6" s="30">
        <v>0</v>
      </c>
      <c r="AN6" t="s">
        <v>449</v>
      </c>
    </row>
    <row r="7" spans="1:44">
      <c r="A7" s="200" t="s">
        <v>445</v>
      </c>
      <c r="B7" t="s">
        <v>754</v>
      </c>
      <c r="C7" s="200" t="s">
        <v>446</v>
      </c>
      <c r="D7" s="200">
        <v>2</v>
      </c>
      <c r="E7" s="200">
        <v>60</v>
      </c>
      <c r="F7">
        <v>0</v>
      </c>
      <c r="G7">
        <v>4105</v>
      </c>
      <c r="H7">
        <v>0.56999999999999995</v>
      </c>
      <c r="K7" s="200" t="s">
        <v>297</v>
      </c>
      <c r="L7" s="200" t="s">
        <v>442</v>
      </c>
      <c r="M7" s="31">
        <v>567</v>
      </c>
      <c r="N7" s="31"/>
      <c r="O7" s="31">
        <v>2013</v>
      </c>
      <c r="Q7" s="208" t="s">
        <v>337</v>
      </c>
      <c r="R7" s="208" t="s">
        <v>180</v>
      </c>
      <c r="S7" s="208" t="s">
        <v>353</v>
      </c>
      <c r="T7" s="208" t="s">
        <v>179</v>
      </c>
      <c r="U7" s="208" t="s">
        <v>344</v>
      </c>
      <c r="V7" s="208" t="s">
        <v>713</v>
      </c>
      <c r="W7" s="208" t="s">
        <v>356</v>
      </c>
      <c r="X7" s="208"/>
      <c r="Y7" s="208"/>
      <c r="AA7" s="208">
        <v>1</v>
      </c>
      <c r="AB7" s="208">
        <v>1.2</v>
      </c>
      <c r="AC7" s="208">
        <v>2</v>
      </c>
      <c r="AD7" s="208">
        <v>2.5</v>
      </c>
      <c r="AE7" s="208">
        <v>2.7</v>
      </c>
      <c r="AF7" s="208">
        <v>3</v>
      </c>
      <c r="AG7" s="208">
        <v>6</v>
      </c>
      <c r="AK7" s="29" t="s">
        <v>162</v>
      </c>
      <c r="AL7" s="30">
        <v>1.32</v>
      </c>
      <c r="AM7" s="30">
        <v>0</v>
      </c>
      <c r="AN7" s="200" t="s">
        <v>450</v>
      </c>
    </row>
    <row r="9" spans="1:44">
      <c r="B9" t="s">
        <v>773</v>
      </c>
    </row>
    <row r="10" spans="1:44">
      <c r="A10" s="295" t="s">
        <v>773</v>
      </c>
      <c r="B10" t="s">
        <v>451</v>
      </c>
      <c r="C10" t="s">
        <v>454</v>
      </c>
      <c r="D10">
        <v>30</v>
      </c>
      <c r="E10">
        <v>8000</v>
      </c>
      <c r="F10">
        <v>0</v>
      </c>
      <c r="G10">
        <v>1185</v>
      </c>
      <c r="H10">
        <v>0.52</v>
      </c>
      <c r="K10" s="200" t="s">
        <v>297</v>
      </c>
      <c r="L10" s="200" t="s">
        <v>442</v>
      </c>
      <c r="M10" s="31">
        <v>567</v>
      </c>
      <c r="N10" s="31"/>
      <c r="O10" s="31">
        <v>2013</v>
      </c>
      <c r="Q10" s="208" t="s">
        <v>337</v>
      </c>
      <c r="R10" s="208"/>
      <c r="S10" s="208"/>
      <c r="T10" s="208"/>
      <c r="U10" s="208"/>
      <c r="V10" s="208"/>
      <c r="W10" s="208"/>
      <c r="X10" s="208"/>
      <c r="Y10" s="208"/>
      <c r="AA10" s="208">
        <v>1</v>
      </c>
      <c r="AB10" s="208"/>
      <c r="AC10" s="208"/>
      <c r="AD10" s="208"/>
      <c r="AE10" s="208"/>
      <c r="AF10" s="208"/>
      <c r="AG10" s="208"/>
      <c r="AK10" s="29" t="s">
        <v>162</v>
      </c>
      <c r="AL10" s="30">
        <v>1.7</v>
      </c>
      <c r="AM10" s="30">
        <v>0.3</v>
      </c>
      <c r="AN10" t="s">
        <v>455</v>
      </c>
    </row>
    <row r="11" spans="1:44">
      <c r="A11" s="295" t="s">
        <v>773</v>
      </c>
      <c r="B11" t="s">
        <v>452</v>
      </c>
      <c r="C11" t="s">
        <v>454</v>
      </c>
      <c r="D11">
        <v>30</v>
      </c>
      <c r="E11">
        <v>2000</v>
      </c>
      <c r="F11">
        <v>0</v>
      </c>
      <c r="G11">
        <v>2245</v>
      </c>
      <c r="H11">
        <v>0.57999999999999996</v>
      </c>
      <c r="K11" s="200" t="s">
        <v>297</v>
      </c>
      <c r="L11" s="200" t="s">
        <v>442</v>
      </c>
      <c r="M11" s="31">
        <v>567</v>
      </c>
      <c r="N11" s="31"/>
      <c r="O11" s="31">
        <v>2013</v>
      </c>
      <c r="Q11" s="208" t="s">
        <v>353</v>
      </c>
      <c r="R11" s="208"/>
      <c r="S11" s="208"/>
      <c r="T11" s="208"/>
      <c r="U11" s="208"/>
      <c r="V11" s="208"/>
      <c r="W11" s="208"/>
      <c r="X11" s="208"/>
      <c r="Y11" s="208"/>
      <c r="AA11" s="208">
        <v>1</v>
      </c>
      <c r="AB11" s="208"/>
      <c r="AC11" s="208"/>
      <c r="AD11" s="208"/>
      <c r="AE11" s="208"/>
      <c r="AF11" s="208"/>
      <c r="AG11" s="208"/>
      <c r="AK11" s="29" t="s">
        <v>162</v>
      </c>
      <c r="AL11" s="215">
        <v>1.7</v>
      </c>
      <c r="AM11" s="30">
        <v>0.3</v>
      </c>
      <c r="AN11" s="200" t="s">
        <v>455</v>
      </c>
    </row>
    <row r="12" spans="1:44">
      <c r="A12" s="295" t="s">
        <v>773</v>
      </c>
      <c r="B12" t="s">
        <v>453</v>
      </c>
      <c r="C12" s="200" t="s">
        <v>454</v>
      </c>
      <c r="D12">
        <v>30</v>
      </c>
      <c r="E12">
        <v>4000</v>
      </c>
      <c r="F12">
        <v>0</v>
      </c>
      <c r="G12">
        <v>2085</v>
      </c>
      <c r="H12">
        <v>0.54</v>
      </c>
      <c r="K12" s="200" t="s">
        <v>297</v>
      </c>
      <c r="L12" s="200" t="s">
        <v>442</v>
      </c>
      <c r="M12" s="31">
        <v>567</v>
      </c>
      <c r="N12" s="31"/>
      <c r="O12" s="31">
        <v>2013</v>
      </c>
      <c r="Q12" s="208" t="s">
        <v>755</v>
      </c>
      <c r="R12" s="208"/>
      <c r="S12" s="208"/>
      <c r="T12" s="208"/>
      <c r="U12" s="208"/>
      <c r="V12" s="208"/>
      <c r="W12" s="208"/>
      <c r="X12" s="208"/>
      <c r="Y12" s="208"/>
      <c r="AA12" s="208">
        <v>1</v>
      </c>
      <c r="AB12" s="208"/>
      <c r="AC12" s="208"/>
      <c r="AD12" s="208"/>
      <c r="AE12" s="208"/>
      <c r="AF12" s="208"/>
      <c r="AG12" s="208"/>
      <c r="AK12" s="29" t="s">
        <v>162</v>
      </c>
      <c r="AL12" s="215">
        <v>1.7</v>
      </c>
      <c r="AM12" s="30">
        <v>0.3</v>
      </c>
      <c r="AN12" s="200" t="s">
        <v>455</v>
      </c>
    </row>
    <row r="13" spans="1:44" s="209" customFormat="1">
      <c r="M13" s="31"/>
      <c r="N13" s="31"/>
      <c r="O13" s="31"/>
      <c r="AR13" s="217"/>
    </row>
    <row r="14" spans="1:44" s="29" customFormat="1">
      <c r="B14" s="29" t="s">
        <v>315</v>
      </c>
      <c r="I14" s="207"/>
      <c r="J14" s="207"/>
      <c r="R14" s="30"/>
      <c r="S14" s="30"/>
      <c r="T14" s="30"/>
      <c r="U14" s="30"/>
      <c r="V14" s="30"/>
      <c r="W14" s="30"/>
      <c r="X14" s="30"/>
      <c r="Y14" s="30"/>
      <c r="Z14" s="208"/>
      <c r="AA14" s="30"/>
      <c r="AB14" s="30"/>
      <c r="AC14" s="30"/>
      <c r="AD14" s="30"/>
      <c r="AE14" s="30"/>
      <c r="AF14" s="30"/>
      <c r="AG14" s="30"/>
      <c r="AH14" s="30"/>
      <c r="AI14" s="30"/>
      <c r="AJ14" s="208"/>
      <c r="AL14" s="30"/>
      <c r="AM14" s="30"/>
      <c r="AR14" s="217"/>
    </row>
    <row r="15" spans="1:44">
      <c r="A15" s="203" t="s">
        <v>315</v>
      </c>
      <c r="B15" t="s">
        <v>794</v>
      </c>
      <c r="C15" s="203" t="s">
        <v>488</v>
      </c>
      <c r="D15" s="205">
        <v>500000</v>
      </c>
      <c r="E15" s="205">
        <v>70000000</v>
      </c>
      <c r="F15">
        <v>0</v>
      </c>
      <c r="G15">
        <v>0.41599999999999998</v>
      </c>
      <c r="H15">
        <v>0.77</v>
      </c>
      <c r="K15" s="203" t="s">
        <v>297</v>
      </c>
      <c r="L15" s="203" t="s">
        <v>442</v>
      </c>
      <c r="M15" s="31">
        <v>567</v>
      </c>
      <c r="N15" s="31"/>
      <c r="O15" s="31">
        <v>2013</v>
      </c>
      <c r="P15" s="203"/>
      <c r="Q15" s="208" t="s">
        <v>337</v>
      </c>
      <c r="R15" s="208" t="s">
        <v>180</v>
      </c>
      <c r="S15" s="208" t="s">
        <v>353</v>
      </c>
      <c r="T15" s="208" t="s">
        <v>179</v>
      </c>
      <c r="U15" s="208" t="s">
        <v>344</v>
      </c>
      <c r="V15" s="208" t="s">
        <v>713</v>
      </c>
      <c r="W15" s="208" t="s">
        <v>356</v>
      </c>
      <c r="X15" s="208"/>
      <c r="Y15" s="208"/>
      <c r="AA15" s="208">
        <v>1</v>
      </c>
      <c r="AB15" s="208">
        <v>1.2</v>
      </c>
      <c r="AC15" s="208">
        <v>2</v>
      </c>
      <c r="AD15" s="208">
        <v>2.5</v>
      </c>
      <c r="AE15" s="208">
        <v>2.7</v>
      </c>
      <c r="AF15" s="208">
        <v>3</v>
      </c>
      <c r="AG15" s="208">
        <v>6</v>
      </c>
      <c r="AH15" s="203"/>
      <c r="AI15" s="203"/>
      <c r="AK15" s="208">
        <v>2.19</v>
      </c>
      <c r="AL15" s="215">
        <v>1.53</v>
      </c>
      <c r="AM15" s="214">
        <v>0.3</v>
      </c>
      <c r="AN15" s="203" t="s">
        <v>490</v>
      </c>
    </row>
    <row r="16" spans="1:44" s="29" customFormat="1">
      <c r="A16" s="29" t="s">
        <v>315</v>
      </c>
      <c r="B16" s="29" t="s">
        <v>795</v>
      </c>
      <c r="C16" s="29" t="s">
        <v>229</v>
      </c>
      <c r="D16" s="29">
        <v>5000</v>
      </c>
      <c r="E16" s="29">
        <v>200000</v>
      </c>
      <c r="F16" s="29">
        <v>124000</v>
      </c>
      <c r="G16" s="29">
        <v>10</v>
      </c>
      <c r="H16" s="29">
        <v>1</v>
      </c>
      <c r="I16" s="207"/>
      <c r="J16" s="207"/>
      <c r="K16" s="29" t="s">
        <v>297</v>
      </c>
      <c r="L16" s="29" t="s">
        <v>443</v>
      </c>
      <c r="M16" s="29">
        <v>532.9</v>
      </c>
      <c r="N16" s="29">
        <v>2281.6</v>
      </c>
      <c r="O16" s="29">
        <v>2010</v>
      </c>
      <c r="Q16" s="30" t="s">
        <v>337</v>
      </c>
      <c r="R16" s="30" t="s">
        <v>338</v>
      </c>
      <c r="S16" s="30" t="s">
        <v>339</v>
      </c>
      <c r="T16" s="30" t="s">
        <v>340</v>
      </c>
      <c r="U16" s="30" t="s">
        <v>341</v>
      </c>
      <c r="V16" s="30" t="s">
        <v>342</v>
      </c>
      <c r="W16" s="30" t="s">
        <v>343</v>
      </c>
      <c r="X16" s="30" t="s">
        <v>344</v>
      </c>
      <c r="Y16" s="30" t="s">
        <v>345</v>
      </c>
      <c r="Z16" s="208"/>
      <c r="AA16" s="30">
        <v>1</v>
      </c>
      <c r="AB16" s="30">
        <v>1.07</v>
      </c>
      <c r="AC16" s="30">
        <v>1.1000000000000001</v>
      </c>
      <c r="AD16" s="30">
        <v>1.3</v>
      </c>
      <c r="AE16" s="30">
        <v>1.3</v>
      </c>
      <c r="AF16" s="30">
        <v>1.5</v>
      </c>
      <c r="AG16" s="30">
        <v>1.55</v>
      </c>
      <c r="AH16" s="30">
        <v>1.65</v>
      </c>
      <c r="AI16" s="30">
        <v>1.7</v>
      </c>
      <c r="AJ16" s="208"/>
      <c r="AK16" s="29" t="s">
        <v>162</v>
      </c>
      <c r="AL16" s="30">
        <v>1.53</v>
      </c>
      <c r="AM16" s="30">
        <v>0.6</v>
      </c>
      <c r="AR16" s="217"/>
    </row>
    <row r="17" spans="1:44" s="29" customFormat="1">
      <c r="A17" s="29" t="s">
        <v>315</v>
      </c>
      <c r="B17" s="29" t="s">
        <v>796</v>
      </c>
      <c r="C17" s="29" t="s">
        <v>229</v>
      </c>
      <c r="D17" s="29">
        <v>20000</v>
      </c>
      <c r="E17" s="29">
        <v>800000</v>
      </c>
      <c r="F17" s="29">
        <v>130000</v>
      </c>
      <c r="G17" s="29">
        <v>53</v>
      </c>
      <c r="H17" s="29">
        <v>0.9</v>
      </c>
      <c r="I17" s="207"/>
      <c r="J17" s="207"/>
      <c r="K17" s="29" t="s">
        <v>297</v>
      </c>
      <c r="L17" s="200" t="s">
        <v>443</v>
      </c>
      <c r="M17" s="29">
        <v>532.9</v>
      </c>
      <c r="N17" s="29">
        <v>2281.6</v>
      </c>
      <c r="O17" s="29">
        <v>2010</v>
      </c>
      <c r="Q17" s="30" t="s">
        <v>337</v>
      </c>
      <c r="R17" s="30" t="s">
        <v>338</v>
      </c>
      <c r="S17" s="30" t="s">
        <v>339</v>
      </c>
      <c r="T17" s="30" t="s">
        <v>340</v>
      </c>
      <c r="U17" s="30" t="s">
        <v>341</v>
      </c>
      <c r="V17" s="30" t="s">
        <v>342</v>
      </c>
      <c r="W17" s="30" t="s">
        <v>343</v>
      </c>
      <c r="X17" s="30" t="s">
        <v>344</v>
      </c>
      <c r="Y17" s="30" t="s">
        <v>345</v>
      </c>
      <c r="Z17" s="208"/>
      <c r="AA17" s="30">
        <v>1</v>
      </c>
      <c r="AB17" s="30">
        <v>1.07</v>
      </c>
      <c r="AC17" s="30">
        <v>1.1000000000000001</v>
      </c>
      <c r="AD17" s="30">
        <v>1.3</v>
      </c>
      <c r="AE17" s="30">
        <v>1.3</v>
      </c>
      <c r="AF17" s="30">
        <v>1.5</v>
      </c>
      <c r="AG17" s="30">
        <v>1.55</v>
      </c>
      <c r="AH17" s="30">
        <v>1.65</v>
      </c>
      <c r="AI17" s="30">
        <v>1.7</v>
      </c>
      <c r="AJ17" s="208"/>
      <c r="AK17" s="29" t="s">
        <v>162</v>
      </c>
      <c r="AL17" s="30">
        <v>1.53</v>
      </c>
      <c r="AM17" s="30">
        <v>0.6</v>
      </c>
      <c r="AR17" s="217"/>
    </row>
    <row r="18" spans="1:44" s="29" customFormat="1">
      <c r="I18" s="207"/>
      <c r="J18" s="207"/>
      <c r="R18" s="30"/>
      <c r="S18" s="30"/>
      <c r="T18" s="30"/>
      <c r="U18" s="30"/>
      <c r="V18" s="30"/>
      <c r="W18" s="30"/>
      <c r="X18" s="30"/>
      <c r="Y18" s="30"/>
      <c r="Z18" s="208"/>
      <c r="AA18" s="30"/>
      <c r="AB18" s="30"/>
      <c r="AC18" s="30"/>
      <c r="AD18" s="30"/>
      <c r="AE18" s="30"/>
      <c r="AF18" s="30"/>
      <c r="AG18" s="30"/>
      <c r="AH18" s="30"/>
      <c r="AI18" s="30"/>
      <c r="AJ18" s="208"/>
      <c r="AL18" s="30"/>
      <c r="AM18" s="30"/>
      <c r="AR18" s="217"/>
    </row>
    <row r="19" spans="1:44" s="29" customFormat="1">
      <c r="B19" s="29" t="s">
        <v>292</v>
      </c>
      <c r="I19" s="207"/>
      <c r="J19" s="207"/>
      <c r="R19" s="30"/>
      <c r="S19" s="30"/>
      <c r="T19" s="30"/>
      <c r="U19" s="30"/>
      <c r="V19" s="30"/>
      <c r="W19" s="30"/>
      <c r="X19" s="30"/>
      <c r="Y19" s="30"/>
      <c r="Z19" s="208"/>
      <c r="AA19" s="30"/>
      <c r="AB19" s="30"/>
      <c r="AC19" s="30"/>
      <c r="AD19" s="30"/>
      <c r="AE19" s="30"/>
      <c r="AF19" s="30"/>
      <c r="AG19" s="30"/>
      <c r="AH19" s="30"/>
      <c r="AI19" s="30"/>
      <c r="AJ19" s="208"/>
      <c r="AL19" s="30"/>
      <c r="AM19" s="30"/>
      <c r="AR19" s="217"/>
    </row>
    <row r="20" spans="1:44" s="29" customFormat="1">
      <c r="A20" s="29" t="s">
        <v>292</v>
      </c>
      <c r="B20" s="29" t="s">
        <v>260</v>
      </c>
      <c r="C20" s="29" t="s">
        <v>261</v>
      </c>
      <c r="D20" s="27">
        <v>0</v>
      </c>
      <c r="E20" s="28">
        <v>1000000000</v>
      </c>
      <c r="F20" s="29">
        <v>0</v>
      </c>
      <c r="G20" s="29">
        <v>8000</v>
      </c>
      <c r="H20" s="29">
        <v>1</v>
      </c>
      <c r="I20" s="207"/>
      <c r="J20" s="207"/>
      <c r="K20" s="29" t="s">
        <v>297</v>
      </c>
      <c r="L20" s="200" t="s">
        <v>443</v>
      </c>
      <c r="M20" s="29">
        <v>532.9</v>
      </c>
      <c r="N20" s="29">
        <v>2281.6</v>
      </c>
      <c r="O20" s="29">
        <v>2010</v>
      </c>
      <c r="P20" s="29" t="s">
        <v>255</v>
      </c>
      <c r="Q20" s="30" t="s">
        <v>340</v>
      </c>
      <c r="R20" s="30"/>
      <c r="S20" s="30"/>
      <c r="T20" s="30"/>
      <c r="U20" s="30"/>
      <c r="V20" s="30"/>
      <c r="W20" s="30"/>
      <c r="X20" s="30"/>
      <c r="Y20" s="30"/>
      <c r="Z20" s="208"/>
      <c r="AA20" s="30">
        <v>1</v>
      </c>
      <c r="AB20" s="30"/>
      <c r="AC20" s="30"/>
      <c r="AD20" s="30"/>
      <c r="AE20" s="30"/>
      <c r="AF20" s="30"/>
      <c r="AG20" s="30"/>
      <c r="AH20" s="30"/>
      <c r="AI20" s="30"/>
      <c r="AJ20" s="208"/>
      <c r="AK20" s="29">
        <v>1</v>
      </c>
      <c r="AL20" s="30">
        <v>1.2</v>
      </c>
      <c r="AM20" s="30">
        <v>0</v>
      </c>
      <c r="AR20" s="217"/>
    </row>
    <row r="21" spans="1:44" s="29" customFormat="1">
      <c r="A21" s="29" t="s">
        <v>292</v>
      </c>
      <c r="B21" s="29" t="s">
        <v>262</v>
      </c>
      <c r="C21" s="29" t="s">
        <v>261</v>
      </c>
      <c r="D21" s="27">
        <v>0</v>
      </c>
      <c r="E21" s="28">
        <v>1000000000</v>
      </c>
      <c r="F21" s="29">
        <v>0</v>
      </c>
      <c r="G21" s="29">
        <v>2000</v>
      </c>
      <c r="H21" s="29">
        <v>1</v>
      </c>
      <c r="I21" s="207"/>
      <c r="J21" s="207"/>
      <c r="K21" s="29" t="s">
        <v>297</v>
      </c>
      <c r="L21" s="200" t="s">
        <v>443</v>
      </c>
      <c r="M21" s="29">
        <v>532.9</v>
      </c>
      <c r="N21" s="29">
        <v>2281.6</v>
      </c>
      <c r="O21" s="29">
        <v>2010</v>
      </c>
      <c r="P21" s="29" t="s">
        <v>263</v>
      </c>
      <c r="Q21" s="30" t="s">
        <v>350</v>
      </c>
      <c r="R21" s="30"/>
      <c r="S21" s="30"/>
      <c r="T21" s="30"/>
      <c r="U21" s="30"/>
      <c r="V21" s="30"/>
      <c r="W21" s="30"/>
      <c r="X21" s="30"/>
      <c r="Y21" s="30"/>
      <c r="Z21" s="208"/>
      <c r="AA21" s="30">
        <v>1</v>
      </c>
      <c r="AB21" s="30"/>
      <c r="AC21" s="30"/>
      <c r="AD21" s="30"/>
      <c r="AE21" s="30"/>
      <c r="AF21" s="30"/>
      <c r="AG21" s="30"/>
      <c r="AH21" s="30"/>
      <c r="AI21" s="30"/>
      <c r="AJ21" s="208"/>
      <c r="AK21" s="29">
        <v>1</v>
      </c>
      <c r="AL21" s="30">
        <v>1.2</v>
      </c>
      <c r="AM21" s="30">
        <v>0</v>
      </c>
      <c r="AR21" s="217"/>
    </row>
    <row r="22" spans="1:44" s="29" customFormat="1">
      <c r="A22" s="29" t="s">
        <v>292</v>
      </c>
      <c r="B22" s="29" t="s">
        <v>264</v>
      </c>
      <c r="C22" s="29" t="s">
        <v>261</v>
      </c>
      <c r="D22" s="27">
        <v>0</v>
      </c>
      <c r="E22" s="28">
        <v>1000000000</v>
      </c>
      <c r="F22" s="29">
        <v>0</v>
      </c>
      <c r="G22" s="29">
        <v>8500</v>
      </c>
      <c r="H22" s="29">
        <v>1</v>
      </c>
      <c r="I22" s="207"/>
      <c r="J22" s="207"/>
      <c r="K22" s="29" t="s">
        <v>297</v>
      </c>
      <c r="L22" s="200" t="s">
        <v>443</v>
      </c>
      <c r="M22" s="29">
        <v>532.9</v>
      </c>
      <c r="N22" s="29">
        <v>2281.6</v>
      </c>
      <c r="O22" s="29">
        <v>2010</v>
      </c>
      <c r="P22" s="29" t="s">
        <v>255</v>
      </c>
      <c r="Q22" s="30" t="s">
        <v>340</v>
      </c>
      <c r="R22" s="30"/>
      <c r="S22" s="30"/>
      <c r="T22" s="30"/>
      <c r="U22" s="30"/>
      <c r="V22" s="30"/>
      <c r="W22" s="30"/>
      <c r="X22" s="30"/>
      <c r="Y22" s="30"/>
      <c r="Z22" s="208"/>
      <c r="AA22" s="30">
        <v>1</v>
      </c>
      <c r="AB22" s="30"/>
      <c r="AC22" s="30"/>
      <c r="AD22" s="30"/>
      <c r="AE22" s="30"/>
      <c r="AF22" s="30"/>
      <c r="AG22" s="30"/>
      <c r="AH22" s="30"/>
      <c r="AI22" s="30"/>
      <c r="AJ22" s="208"/>
      <c r="AK22" s="29">
        <v>1</v>
      </c>
      <c r="AL22" s="215">
        <v>1.2</v>
      </c>
      <c r="AM22" s="214">
        <v>0</v>
      </c>
      <c r="AR22" s="217"/>
    </row>
    <row r="23" spans="1:44" s="29" customFormat="1">
      <c r="A23" s="29" t="s">
        <v>292</v>
      </c>
      <c r="B23" s="29" t="s">
        <v>265</v>
      </c>
      <c r="C23" s="29" t="s">
        <v>261</v>
      </c>
      <c r="D23" s="27">
        <v>0</v>
      </c>
      <c r="E23" s="28">
        <v>1000000000</v>
      </c>
      <c r="F23" s="29">
        <v>0</v>
      </c>
      <c r="G23" s="29">
        <v>5500</v>
      </c>
      <c r="H23" s="29">
        <v>1</v>
      </c>
      <c r="I23" s="207"/>
      <c r="J23" s="207"/>
      <c r="K23" s="29" t="s">
        <v>297</v>
      </c>
      <c r="L23" s="200" t="s">
        <v>443</v>
      </c>
      <c r="M23" s="29">
        <v>532.9</v>
      </c>
      <c r="N23" s="29">
        <v>2281.6</v>
      </c>
      <c r="O23" s="29">
        <v>2010</v>
      </c>
      <c r="P23" s="29" t="s">
        <v>266</v>
      </c>
      <c r="Q23" s="30" t="s">
        <v>266</v>
      </c>
      <c r="R23" s="30"/>
      <c r="S23" s="30"/>
      <c r="T23" s="30"/>
      <c r="U23" s="30"/>
      <c r="V23" s="30"/>
      <c r="W23" s="30"/>
      <c r="X23" s="30"/>
      <c r="Y23" s="30"/>
      <c r="Z23" s="208"/>
      <c r="AA23" s="30">
        <v>1</v>
      </c>
      <c r="AB23" s="30"/>
      <c r="AC23" s="30"/>
      <c r="AD23" s="30"/>
      <c r="AE23" s="30"/>
      <c r="AF23" s="30"/>
      <c r="AG23" s="30"/>
      <c r="AH23" s="30"/>
      <c r="AI23" s="30"/>
      <c r="AJ23" s="208"/>
      <c r="AK23" s="29">
        <v>1</v>
      </c>
      <c r="AL23" s="215">
        <v>1.2</v>
      </c>
      <c r="AM23" s="214">
        <v>0</v>
      </c>
      <c r="AR23" s="217"/>
    </row>
    <row r="24" spans="1:44" s="29" customFormat="1">
      <c r="A24" s="29" t="s">
        <v>292</v>
      </c>
      <c r="B24" s="29" t="s">
        <v>267</v>
      </c>
      <c r="C24" s="29" t="s">
        <v>261</v>
      </c>
      <c r="D24" s="27">
        <v>0</v>
      </c>
      <c r="E24" s="28">
        <v>1000000000</v>
      </c>
      <c r="F24" s="29">
        <v>0</v>
      </c>
      <c r="G24" s="29">
        <v>7600</v>
      </c>
      <c r="H24" s="29">
        <v>1</v>
      </c>
      <c r="I24" s="207"/>
      <c r="J24" s="207"/>
      <c r="K24" s="29" t="s">
        <v>297</v>
      </c>
      <c r="L24" s="200" t="s">
        <v>443</v>
      </c>
      <c r="M24" s="29">
        <v>532.9</v>
      </c>
      <c r="N24" s="29">
        <v>2281.6</v>
      </c>
      <c r="O24" s="29">
        <v>2010</v>
      </c>
      <c r="P24" s="29" t="s">
        <v>255</v>
      </c>
      <c r="Q24" s="30" t="s">
        <v>340</v>
      </c>
      <c r="R24" s="30"/>
      <c r="S24" s="30"/>
      <c r="T24" s="30"/>
      <c r="U24" s="30"/>
      <c r="V24" s="30"/>
      <c r="W24" s="30"/>
      <c r="X24" s="30"/>
      <c r="Y24" s="30"/>
      <c r="Z24" s="208"/>
      <c r="AA24" s="30">
        <v>1</v>
      </c>
      <c r="AB24" s="30"/>
      <c r="AC24" s="30"/>
      <c r="AD24" s="30"/>
      <c r="AE24" s="30"/>
      <c r="AF24" s="30"/>
      <c r="AG24" s="30"/>
      <c r="AH24" s="30"/>
      <c r="AI24" s="30"/>
      <c r="AJ24" s="208"/>
      <c r="AK24" s="29">
        <v>1</v>
      </c>
      <c r="AL24" s="215">
        <v>1.2</v>
      </c>
      <c r="AM24" s="214">
        <v>0</v>
      </c>
      <c r="AR24" s="217"/>
    </row>
    <row r="25" spans="1:44" s="29" customFormat="1">
      <c r="A25" s="29" t="s">
        <v>292</v>
      </c>
      <c r="B25" s="29" t="s">
        <v>281</v>
      </c>
      <c r="C25" s="29" t="s">
        <v>231</v>
      </c>
      <c r="D25" s="29">
        <v>0.5</v>
      </c>
      <c r="E25" s="29">
        <v>5</v>
      </c>
      <c r="F25" s="29">
        <v>130</v>
      </c>
      <c r="G25" s="29">
        <v>440</v>
      </c>
      <c r="H25" s="29">
        <v>1.8</v>
      </c>
      <c r="I25" s="207"/>
      <c r="J25" s="207"/>
      <c r="K25" s="29" t="s">
        <v>297</v>
      </c>
      <c r="L25" s="200" t="s">
        <v>443</v>
      </c>
      <c r="M25" s="29">
        <v>532.9</v>
      </c>
      <c r="N25" s="29">
        <v>2281.6</v>
      </c>
      <c r="O25" s="29">
        <v>2010</v>
      </c>
      <c r="Q25" s="30" t="s">
        <v>337</v>
      </c>
      <c r="R25" s="30" t="s">
        <v>338</v>
      </c>
      <c r="S25" s="30" t="s">
        <v>339</v>
      </c>
      <c r="T25" s="30" t="s">
        <v>340</v>
      </c>
      <c r="U25" s="30" t="s">
        <v>341</v>
      </c>
      <c r="V25" s="30" t="s">
        <v>342</v>
      </c>
      <c r="W25" s="30" t="s">
        <v>343</v>
      </c>
      <c r="X25" s="30" t="s">
        <v>344</v>
      </c>
      <c r="Y25" s="30" t="s">
        <v>345</v>
      </c>
      <c r="Z25" s="208"/>
      <c r="AA25" s="30">
        <v>1</v>
      </c>
      <c r="AB25" s="30">
        <v>1.07</v>
      </c>
      <c r="AC25" s="30">
        <v>1.1000000000000001</v>
      </c>
      <c r="AD25" s="30">
        <v>1.3</v>
      </c>
      <c r="AE25" s="30">
        <v>1.3</v>
      </c>
      <c r="AF25" s="30">
        <v>1.5</v>
      </c>
      <c r="AG25" s="30">
        <v>1.55</v>
      </c>
      <c r="AH25" s="30">
        <v>1.65</v>
      </c>
      <c r="AI25" s="30">
        <v>1.7</v>
      </c>
      <c r="AJ25" s="208"/>
      <c r="AK25" s="29">
        <v>1</v>
      </c>
      <c r="AL25" s="215">
        <v>1.2</v>
      </c>
      <c r="AM25" s="214">
        <v>0</v>
      </c>
      <c r="AN25" s="29" t="s">
        <v>282</v>
      </c>
      <c r="AR25" s="217"/>
    </row>
    <row r="26" spans="1:44" s="29" customFormat="1">
      <c r="A26" s="29" t="s">
        <v>292</v>
      </c>
      <c r="B26" s="29" t="s">
        <v>283</v>
      </c>
      <c r="C26" s="29" t="s">
        <v>231</v>
      </c>
      <c r="D26" s="29">
        <v>0.5</v>
      </c>
      <c r="E26" s="29">
        <v>5</v>
      </c>
      <c r="F26" s="29">
        <v>210</v>
      </c>
      <c r="G26" s="29">
        <v>400</v>
      </c>
      <c r="H26" s="29">
        <v>1.9</v>
      </c>
      <c r="I26" s="207"/>
      <c r="J26" s="207"/>
      <c r="K26" s="29" t="s">
        <v>297</v>
      </c>
      <c r="L26" s="200" t="s">
        <v>443</v>
      </c>
      <c r="M26" s="29">
        <v>532.9</v>
      </c>
      <c r="N26" s="29">
        <v>2281.6</v>
      </c>
      <c r="O26" s="29">
        <v>2010</v>
      </c>
      <c r="Q26" s="30" t="s">
        <v>337</v>
      </c>
      <c r="R26" s="30" t="s">
        <v>338</v>
      </c>
      <c r="S26" s="30" t="s">
        <v>339</v>
      </c>
      <c r="T26" s="30" t="s">
        <v>340</v>
      </c>
      <c r="U26" s="30" t="s">
        <v>341</v>
      </c>
      <c r="V26" s="30" t="s">
        <v>342</v>
      </c>
      <c r="W26" s="30" t="s">
        <v>343</v>
      </c>
      <c r="X26" s="30" t="s">
        <v>344</v>
      </c>
      <c r="Y26" s="30" t="s">
        <v>345</v>
      </c>
      <c r="Z26" s="208"/>
      <c r="AA26" s="30">
        <v>1</v>
      </c>
      <c r="AB26" s="30">
        <v>1.07</v>
      </c>
      <c r="AC26" s="30">
        <v>1.1000000000000001</v>
      </c>
      <c r="AD26" s="30">
        <v>1.3</v>
      </c>
      <c r="AE26" s="30">
        <v>1.3</v>
      </c>
      <c r="AF26" s="30">
        <v>1.5</v>
      </c>
      <c r="AG26" s="30">
        <v>1.55</v>
      </c>
      <c r="AH26" s="30">
        <v>1.65</v>
      </c>
      <c r="AI26" s="30">
        <v>1.7</v>
      </c>
      <c r="AJ26" s="208"/>
      <c r="AK26" s="29">
        <v>1</v>
      </c>
      <c r="AL26" s="215">
        <v>1.2</v>
      </c>
      <c r="AM26" s="214">
        <v>0</v>
      </c>
      <c r="AR26" s="217"/>
    </row>
    <row r="27" spans="1:44" s="29" customFormat="1">
      <c r="A27" s="29" t="s">
        <v>292</v>
      </c>
      <c r="B27" s="29" t="s">
        <v>284</v>
      </c>
      <c r="C27" s="29" t="s">
        <v>231</v>
      </c>
      <c r="D27" s="29">
        <v>0.5</v>
      </c>
      <c r="E27" s="29">
        <v>5</v>
      </c>
      <c r="F27" s="29">
        <v>340</v>
      </c>
      <c r="G27" s="29">
        <v>640</v>
      </c>
      <c r="H27" s="29">
        <v>1.9</v>
      </c>
      <c r="I27" s="207"/>
      <c r="J27" s="207"/>
      <c r="K27" s="29" t="s">
        <v>297</v>
      </c>
      <c r="L27" s="200" t="s">
        <v>443</v>
      </c>
      <c r="M27" s="29">
        <v>532.9</v>
      </c>
      <c r="N27" s="29">
        <v>2281.6</v>
      </c>
      <c r="O27" s="29">
        <v>2010</v>
      </c>
      <c r="Q27" s="30" t="s">
        <v>337</v>
      </c>
      <c r="R27" s="30" t="s">
        <v>338</v>
      </c>
      <c r="S27" s="30" t="s">
        <v>339</v>
      </c>
      <c r="T27" s="30" t="s">
        <v>340</v>
      </c>
      <c r="U27" s="30" t="s">
        <v>341</v>
      </c>
      <c r="V27" s="30" t="s">
        <v>342</v>
      </c>
      <c r="W27" s="30" t="s">
        <v>343</v>
      </c>
      <c r="X27" s="30" t="s">
        <v>344</v>
      </c>
      <c r="Y27" s="30" t="s">
        <v>345</v>
      </c>
      <c r="Z27" s="208"/>
      <c r="AA27" s="30">
        <v>1</v>
      </c>
      <c r="AB27" s="30">
        <v>1.07</v>
      </c>
      <c r="AC27" s="30">
        <v>1.1000000000000001</v>
      </c>
      <c r="AD27" s="30">
        <v>1.3</v>
      </c>
      <c r="AE27" s="30">
        <v>1.3</v>
      </c>
      <c r="AF27" s="30">
        <v>1.5</v>
      </c>
      <c r="AG27" s="30">
        <v>1.55</v>
      </c>
      <c r="AH27" s="30">
        <v>1.65</v>
      </c>
      <c r="AI27" s="30">
        <v>1.7</v>
      </c>
      <c r="AJ27" s="208"/>
      <c r="AK27" s="29">
        <v>1</v>
      </c>
      <c r="AL27" s="215">
        <v>1.2</v>
      </c>
      <c r="AM27" s="214">
        <v>0</v>
      </c>
      <c r="AR27" s="217"/>
    </row>
    <row r="28" spans="1:44" s="29" customFormat="1">
      <c r="I28" s="207"/>
      <c r="J28" s="207"/>
      <c r="R28" s="30"/>
      <c r="S28" s="30"/>
      <c r="T28" s="30"/>
      <c r="U28" s="30"/>
      <c r="V28" s="30"/>
      <c r="W28" s="30"/>
      <c r="X28" s="30"/>
      <c r="Y28" s="30"/>
      <c r="Z28" s="208"/>
      <c r="AA28" s="30"/>
      <c r="AB28" s="30"/>
      <c r="AC28" s="30"/>
      <c r="AD28" s="30"/>
      <c r="AE28" s="30"/>
      <c r="AF28" s="30"/>
      <c r="AG28" s="30"/>
      <c r="AH28" s="30"/>
      <c r="AI28" s="30"/>
      <c r="AJ28" s="208"/>
      <c r="AL28" s="30"/>
      <c r="AM28" s="30"/>
      <c r="AR28" s="217"/>
    </row>
    <row r="29" spans="1:44">
      <c r="B29" t="s">
        <v>731</v>
      </c>
      <c r="AB29" s="208"/>
      <c r="AC29" s="208"/>
      <c r="AD29" s="208"/>
      <c r="AE29" s="208"/>
      <c r="AF29" s="208"/>
      <c r="AG29" s="208"/>
    </row>
    <row r="30" spans="1:44">
      <c r="A30" s="295" t="s">
        <v>731</v>
      </c>
      <c r="B30" t="s">
        <v>456</v>
      </c>
      <c r="C30" t="s">
        <v>457</v>
      </c>
      <c r="D30">
        <v>15</v>
      </c>
      <c r="E30">
        <v>200</v>
      </c>
      <c r="F30">
        <v>0</v>
      </c>
      <c r="G30">
        <v>16440</v>
      </c>
      <c r="H30">
        <v>0.67</v>
      </c>
      <c r="K30" s="200" t="s">
        <v>297</v>
      </c>
      <c r="L30" s="200" t="s">
        <v>442</v>
      </c>
      <c r="M30" s="31">
        <v>567</v>
      </c>
      <c r="N30" s="31"/>
      <c r="O30" s="31">
        <v>2013</v>
      </c>
      <c r="P30" s="208" t="s">
        <v>353</v>
      </c>
      <c r="Q30" s="208" t="s">
        <v>337</v>
      </c>
      <c r="R30" s="208" t="s">
        <v>180</v>
      </c>
      <c r="S30" s="208" t="s">
        <v>353</v>
      </c>
      <c r="T30" s="208" t="s">
        <v>179</v>
      </c>
      <c r="U30" s="208" t="s">
        <v>344</v>
      </c>
      <c r="V30" s="208" t="s">
        <v>713</v>
      </c>
      <c r="W30" s="208" t="s">
        <v>356</v>
      </c>
      <c r="X30" s="208"/>
      <c r="Y30" s="208"/>
      <c r="AA30" s="208">
        <v>0.5</v>
      </c>
      <c r="AB30" s="208">
        <v>0.6</v>
      </c>
      <c r="AC30" s="208">
        <v>1</v>
      </c>
      <c r="AD30" s="208">
        <v>1.25</v>
      </c>
      <c r="AE30" s="208">
        <v>1.35</v>
      </c>
      <c r="AF30" s="208">
        <v>1.5</v>
      </c>
      <c r="AG30" s="208">
        <v>3</v>
      </c>
      <c r="AK30" s="208">
        <v>2.06</v>
      </c>
      <c r="AL30" s="30">
        <v>1.8</v>
      </c>
      <c r="AM30" s="214">
        <v>0.16</v>
      </c>
      <c r="AN30" s="208" t="s">
        <v>353</v>
      </c>
    </row>
    <row r="31" spans="1:44">
      <c r="A31" s="295" t="s">
        <v>731</v>
      </c>
      <c r="B31" t="s">
        <v>458</v>
      </c>
      <c r="C31" t="s">
        <v>461</v>
      </c>
      <c r="D31">
        <v>10</v>
      </c>
      <c r="E31">
        <v>1000</v>
      </c>
      <c r="F31">
        <v>0</v>
      </c>
      <c r="G31">
        <v>39575</v>
      </c>
      <c r="H31">
        <v>0.56000000000000005</v>
      </c>
      <c r="K31" s="203" t="s">
        <v>297</v>
      </c>
      <c r="L31" s="203" t="s">
        <v>442</v>
      </c>
      <c r="M31" s="31">
        <v>567</v>
      </c>
      <c r="N31" s="31"/>
      <c r="O31" s="31">
        <v>2013</v>
      </c>
      <c r="P31" s="208" t="s">
        <v>337</v>
      </c>
      <c r="Q31" s="208" t="s">
        <v>337</v>
      </c>
      <c r="R31" s="208" t="s">
        <v>180</v>
      </c>
      <c r="S31" s="208" t="s">
        <v>353</v>
      </c>
      <c r="T31" s="208" t="s">
        <v>179</v>
      </c>
      <c r="U31" s="208" t="s">
        <v>344</v>
      </c>
      <c r="V31" s="208" t="s">
        <v>713</v>
      </c>
      <c r="W31" s="208" t="s">
        <v>356</v>
      </c>
      <c r="X31" s="208"/>
      <c r="Y31" s="208"/>
      <c r="AA31" s="208">
        <v>1</v>
      </c>
      <c r="AB31" s="208">
        <v>1.2</v>
      </c>
      <c r="AC31" s="208">
        <v>2</v>
      </c>
      <c r="AD31" s="208">
        <v>2.5</v>
      </c>
      <c r="AE31" s="208">
        <v>2.7</v>
      </c>
      <c r="AF31" s="208">
        <v>3</v>
      </c>
      <c r="AG31" s="208">
        <v>6</v>
      </c>
      <c r="AK31" s="208">
        <v>2.06</v>
      </c>
      <c r="AL31" s="215">
        <v>1.8</v>
      </c>
      <c r="AM31" s="214">
        <v>0.16</v>
      </c>
      <c r="AN31" s="208"/>
    </row>
    <row r="32" spans="1:44">
      <c r="A32" s="295" t="s">
        <v>731</v>
      </c>
      <c r="B32" t="s">
        <v>459</v>
      </c>
      <c r="C32" s="200" t="s">
        <v>461</v>
      </c>
      <c r="D32">
        <v>10</v>
      </c>
      <c r="E32">
        <v>250</v>
      </c>
      <c r="F32">
        <v>0</v>
      </c>
      <c r="G32">
        <v>31980</v>
      </c>
      <c r="H32">
        <v>0.63</v>
      </c>
      <c r="K32" s="203" t="s">
        <v>297</v>
      </c>
      <c r="L32" s="203" t="s">
        <v>442</v>
      </c>
      <c r="M32" s="31">
        <v>567</v>
      </c>
      <c r="N32" s="31"/>
      <c r="O32" s="31">
        <v>2013</v>
      </c>
      <c r="P32" s="208" t="s">
        <v>337</v>
      </c>
      <c r="Q32" s="208" t="s">
        <v>337</v>
      </c>
      <c r="R32" s="208" t="s">
        <v>180</v>
      </c>
      <c r="S32" s="208" t="s">
        <v>353</v>
      </c>
      <c r="T32" s="208" t="s">
        <v>179</v>
      </c>
      <c r="U32" s="208" t="s">
        <v>344</v>
      </c>
      <c r="V32" s="208" t="s">
        <v>713</v>
      </c>
      <c r="W32" s="208" t="s">
        <v>356</v>
      </c>
      <c r="X32" s="208"/>
      <c r="Y32" s="208"/>
      <c r="AA32" s="208">
        <v>1</v>
      </c>
      <c r="AB32" s="208">
        <v>1.2</v>
      </c>
      <c r="AC32" s="208">
        <v>2</v>
      </c>
      <c r="AD32" s="208">
        <v>2.5</v>
      </c>
      <c r="AE32" s="208">
        <v>2.7</v>
      </c>
      <c r="AF32" s="208">
        <v>3</v>
      </c>
      <c r="AG32" s="208">
        <v>6</v>
      </c>
      <c r="AK32" s="208">
        <v>2.06</v>
      </c>
      <c r="AL32" s="215">
        <v>1.8</v>
      </c>
      <c r="AM32" s="214">
        <v>0.16</v>
      </c>
      <c r="AN32" s="208"/>
    </row>
    <row r="33" spans="1:44">
      <c r="A33" s="295" t="s">
        <v>731</v>
      </c>
      <c r="B33" t="s">
        <v>460</v>
      </c>
      <c r="C33" t="s">
        <v>462</v>
      </c>
      <c r="D33">
        <v>50</v>
      </c>
      <c r="E33">
        <v>1000</v>
      </c>
      <c r="F33">
        <v>0</v>
      </c>
      <c r="G33">
        <v>46380</v>
      </c>
      <c r="H33">
        <v>0.41</v>
      </c>
      <c r="K33" s="203" t="s">
        <v>297</v>
      </c>
      <c r="L33" s="203" t="s">
        <v>442</v>
      </c>
      <c r="M33" s="31">
        <v>567</v>
      </c>
      <c r="N33" s="31"/>
      <c r="O33" s="31">
        <v>2013</v>
      </c>
      <c r="P33" s="208" t="s">
        <v>353</v>
      </c>
      <c r="Q33" s="208" t="s">
        <v>337</v>
      </c>
      <c r="R33" s="208" t="s">
        <v>180</v>
      </c>
      <c r="S33" s="208" t="s">
        <v>353</v>
      </c>
      <c r="T33" s="208" t="s">
        <v>179</v>
      </c>
      <c r="U33" s="208" t="s">
        <v>344</v>
      </c>
      <c r="V33" s="208" t="s">
        <v>713</v>
      </c>
      <c r="W33" s="208" t="s">
        <v>356</v>
      </c>
      <c r="X33" s="208"/>
      <c r="Y33" s="208"/>
      <c r="AA33" s="208">
        <v>0.5</v>
      </c>
      <c r="AB33" s="208">
        <v>0.6</v>
      </c>
      <c r="AC33" s="208">
        <v>1</v>
      </c>
      <c r="AD33" s="208">
        <v>1.25</v>
      </c>
      <c r="AE33" s="208">
        <v>1.35</v>
      </c>
      <c r="AF33" s="208">
        <v>1.5</v>
      </c>
      <c r="AG33" s="208">
        <v>3</v>
      </c>
      <c r="AK33" s="208">
        <v>2.06</v>
      </c>
      <c r="AL33" s="215">
        <v>1.8</v>
      </c>
      <c r="AM33" s="214">
        <v>0.16</v>
      </c>
      <c r="AN33" s="208" t="s">
        <v>353</v>
      </c>
    </row>
    <row r="34" spans="1:44" s="209" customFormat="1">
      <c r="M34" s="31"/>
      <c r="N34" s="31"/>
      <c r="O34" s="31"/>
      <c r="AM34" s="214"/>
      <c r="AR34" s="217"/>
    </row>
    <row r="35" spans="1:44" s="29" customFormat="1">
      <c r="B35" s="29" t="s">
        <v>730</v>
      </c>
      <c r="I35" s="207"/>
      <c r="J35" s="207"/>
      <c r="R35" s="30"/>
      <c r="S35" s="30"/>
      <c r="T35" s="30"/>
      <c r="U35" s="30"/>
      <c r="V35" s="30"/>
      <c r="W35" s="30"/>
      <c r="X35" s="30"/>
      <c r="Y35" s="30"/>
      <c r="Z35" s="208"/>
      <c r="AA35" s="30"/>
      <c r="AB35" s="30"/>
      <c r="AC35" s="30"/>
      <c r="AD35" s="30"/>
      <c r="AE35" s="30"/>
      <c r="AF35" s="30"/>
      <c r="AG35" s="30"/>
      <c r="AH35" s="30"/>
      <c r="AI35" s="30"/>
      <c r="AJ35" s="208"/>
      <c r="AL35" s="30"/>
      <c r="AM35" s="214"/>
      <c r="AR35" s="217"/>
    </row>
    <row r="36" spans="1:44" s="29" customFormat="1">
      <c r="A36" s="295" t="s">
        <v>730</v>
      </c>
      <c r="B36" s="29" t="s">
        <v>249</v>
      </c>
      <c r="C36" s="29" t="s">
        <v>239</v>
      </c>
      <c r="D36" s="29">
        <v>7</v>
      </c>
      <c r="E36" s="29">
        <v>280</v>
      </c>
      <c r="F36" s="29">
        <v>10000</v>
      </c>
      <c r="G36" s="29">
        <v>13200</v>
      </c>
      <c r="H36" s="29">
        <v>0.8</v>
      </c>
      <c r="I36" s="207"/>
      <c r="J36" s="207"/>
      <c r="K36" s="29" t="s">
        <v>297</v>
      </c>
      <c r="L36" s="200" t="s">
        <v>443</v>
      </c>
      <c r="M36" s="29">
        <v>532.9</v>
      </c>
      <c r="N36" s="29">
        <v>2281.6</v>
      </c>
      <c r="O36" s="29">
        <v>2010</v>
      </c>
      <c r="Q36" s="31" t="s">
        <v>337</v>
      </c>
      <c r="R36" s="31" t="s">
        <v>338</v>
      </c>
      <c r="S36" s="31" t="s">
        <v>339</v>
      </c>
      <c r="T36" s="31" t="s">
        <v>340</v>
      </c>
      <c r="U36" s="31" t="s">
        <v>341</v>
      </c>
      <c r="V36" s="31" t="s">
        <v>342</v>
      </c>
      <c r="W36" s="31" t="s">
        <v>343</v>
      </c>
      <c r="X36" s="31" t="s">
        <v>344</v>
      </c>
      <c r="Y36" s="31" t="s">
        <v>345</v>
      </c>
      <c r="Z36" s="31"/>
      <c r="AA36" s="31">
        <v>1</v>
      </c>
      <c r="AB36" s="31">
        <v>1.07</v>
      </c>
      <c r="AC36" s="31">
        <v>1.1000000000000001</v>
      </c>
      <c r="AD36" s="31">
        <v>1.3</v>
      </c>
      <c r="AE36" s="31">
        <v>1.3</v>
      </c>
      <c r="AF36" s="31">
        <v>1.5</v>
      </c>
      <c r="AG36" s="31">
        <v>1.55</v>
      </c>
      <c r="AH36" s="31">
        <v>1.65</v>
      </c>
      <c r="AI36" s="31">
        <v>1.7</v>
      </c>
      <c r="AJ36" s="31"/>
      <c r="AK36" s="31">
        <v>2.06</v>
      </c>
      <c r="AL36" s="215">
        <v>1.8</v>
      </c>
      <c r="AM36" s="31">
        <v>0.16</v>
      </c>
      <c r="AR36" s="217"/>
    </row>
    <row r="37" spans="1:44" s="209" customFormat="1">
      <c r="A37" s="27"/>
      <c r="Q37" s="31"/>
      <c r="R37" s="31"/>
      <c r="S37" s="31"/>
      <c r="T37" s="31"/>
      <c r="U37" s="31"/>
      <c r="V37" s="31"/>
      <c r="W37" s="31"/>
      <c r="X37" s="31"/>
      <c r="Y37" s="31"/>
      <c r="Z37" s="31"/>
      <c r="AA37" s="31"/>
      <c r="AB37" s="31"/>
      <c r="AC37" s="31"/>
      <c r="AD37" s="31"/>
      <c r="AE37" s="31"/>
      <c r="AF37" s="31"/>
      <c r="AG37" s="31"/>
      <c r="AH37" s="31"/>
      <c r="AI37" s="31"/>
      <c r="AJ37" s="31"/>
      <c r="AK37" s="31"/>
      <c r="AL37" s="31"/>
      <c r="AM37" s="214"/>
      <c r="AR37" s="217"/>
    </row>
    <row r="38" spans="1:44">
      <c r="B38" t="s">
        <v>774</v>
      </c>
      <c r="P38" s="208"/>
    </row>
    <row r="39" spans="1:44">
      <c r="A39" t="s">
        <v>504</v>
      </c>
      <c r="B39" t="s">
        <v>463</v>
      </c>
      <c r="C39" t="s">
        <v>467</v>
      </c>
      <c r="D39">
        <v>250</v>
      </c>
      <c r="E39">
        <v>10000</v>
      </c>
      <c r="F39">
        <v>0</v>
      </c>
      <c r="G39">
        <v>10660</v>
      </c>
      <c r="H39">
        <v>0.41</v>
      </c>
      <c r="K39" s="203" t="s">
        <v>297</v>
      </c>
      <c r="L39" s="203" t="s">
        <v>442</v>
      </c>
      <c r="M39" s="31">
        <v>567</v>
      </c>
      <c r="N39" s="31"/>
      <c r="O39" s="31">
        <v>2013</v>
      </c>
      <c r="P39" s="208" t="s">
        <v>337</v>
      </c>
      <c r="Q39" s="208" t="s">
        <v>337</v>
      </c>
      <c r="R39" s="208" t="s">
        <v>180</v>
      </c>
      <c r="S39" s="208" t="s">
        <v>353</v>
      </c>
      <c r="T39" s="208" t="s">
        <v>179</v>
      </c>
      <c r="U39" s="208" t="s">
        <v>344</v>
      </c>
      <c r="V39" s="208" t="s">
        <v>713</v>
      </c>
      <c r="W39" s="208" t="s">
        <v>356</v>
      </c>
      <c r="X39" s="208"/>
      <c r="Y39" s="208"/>
      <c r="AA39" s="208">
        <v>1</v>
      </c>
      <c r="AB39" s="208">
        <v>1.2</v>
      </c>
      <c r="AC39" s="208">
        <v>2</v>
      </c>
      <c r="AD39" s="208">
        <v>2.5</v>
      </c>
      <c r="AE39" s="208">
        <v>2.7</v>
      </c>
      <c r="AF39" s="208">
        <v>3</v>
      </c>
      <c r="AG39" s="208">
        <v>6</v>
      </c>
      <c r="AH39" s="203"/>
      <c r="AI39" s="203"/>
      <c r="AK39" s="208">
        <v>3.3</v>
      </c>
      <c r="AL39" s="27">
        <v>1.75</v>
      </c>
      <c r="AM39" s="203">
        <v>0</v>
      </c>
      <c r="AN39" s="203"/>
    </row>
    <row r="40" spans="1:44">
      <c r="A40" s="203" t="s">
        <v>504</v>
      </c>
      <c r="B40" t="s">
        <v>464</v>
      </c>
      <c r="C40" s="203" t="s">
        <v>467</v>
      </c>
      <c r="D40">
        <v>250</v>
      </c>
      <c r="E40">
        <v>10000</v>
      </c>
      <c r="F40">
        <v>0</v>
      </c>
      <c r="G40">
        <v>28350</v>
      </c>
      <c r="H40">
        <v>0.40500000000000003</v>
      </c>
      <c r="K40" s="203" t="s">
        <v>297</v>
      </c>
      <c r="L40" s="203" t="s">
        <v>442</v>
      </c>
      <c r="M40" s="31">
        <v>567</v>
      </c>
      <c r="N40" s="31"/>
      <c r="O40" s="31">
        <v>2013</v>
      </c>
      <c r="P40" s="208" t="s">
        <v>337</v>
      </c>
      <c r="Q40" s="208" t="s">
        <v>337</v>
      </c>
      <c r="R40" s="208" t="s">
        <v>180</v>
      </c>
      <c r="S40" s="208" t="s">
        <v>353</v>
      </c>
      <c r="T40" s="208" t="s">
        <v>179</v>
      </c>
      <c r="U40" s="208" t="s">
        <v>344</v>
      </c>
      <c r="V40" s="208" t="s">
        <v>713</v>
      </c>
      <c r="W40" s="208" t="s">
        <v>356</v>
      </c>
      <c r="X40" s="208"/>
      <c r="Y40" s="208"/>
      <c r="AA40" s="208">
        <v>1</v>
      </c>
      <c r="AB40" s="208">
        <v>1.2</v>
      </c>
      <c r="AC40" s="208">
        <v>2</v>
      </c>
      <c r="AD40" s="208">
        <v>2.5</v>
      </c>
      <c r="AE40" s="208">
        <v>2.7</v>
      </c>
      <c r="AF40" s="208">
        <v>3</v>
      </c>
      <c r="AG40" s="208">
        <v>6</v>
      </c>
      <c r="AH40" s="203"/>
      <c r="AI40" s="203"/>
      <c r="AK40" s="208">
        <v>3.3</v>
      </c>
      <c r="AL40" s="27">
        <v>1.75</v>
      </c>
      <c r="AM40" s="203">
        <v>0</v>
      </c>
      <c r="AN40" s="203"/>
    </row>
    <row r="41" spans="1:44">
      <c r="A41" s="203" t="s">
        <v>504</v>
      </c>
      <c r="B41" t="s">
        <v>465</v>
      </c>
      <c r="C41" s="203" t="s">
        <v>467</v>
      </c>
      <c r="D41">
        <v>100</v>
      </c>
      <c r="E41">
        <v>10000</v>
      </c>
      <c r="F41">
        <v>0</v>
      </c>
      <c r="G41">
        <v>2835</v>
      </c>
      <c r="H41">
        <v>0.76</v>
      </c>
      <c r="K41" s="203" t="s">
        <v>297</v>
      </c>
      <c r="L41" s="203" t="s">
        <v>442</v>
      </c>
      <c r="M41" s="31">
        <v>567</v>
      </c>
      <c r="N41" s="31"/>
      <c r="O41" s="31">
        <v>2013</v>
      </c>
      <c r="P41" s="208" t="s">
        <v>337</v>
      </c>
      <c r="Q41" s="208" t="s">
        <v>337</v>
      </c>
      <c r="R41" s="208" t="s">
        <v>180</v>
      </c>
      <c r="S41" s="208" t="s">
        <v>353</v>
      </c>
      <c r="T41" s="208" t="s">
        <v>179</v>
      </c>
      <c r="U41" s="208" t="s">
        <v>344</v>
      </c>
      <c r="V41" s="208" t="s">
        <v>713</v>
      </c>
      <c r="W41" s="208" t="s">
        <v>356</v>
      </c>
      <c r="X41" s="208"/>
      <c r="Y41" s="208"/>
      <c r="AA41" s="208">
        <v>1</v>
      </c>
      <c r="AB41" s="208">
        <v>1.2</v>
      </c>
      <c r="AC41" s="208">
        <v>2</v>
      </c>
      <c r="AD41" s="208">
        <v>2.5</v>
      </c>
      <c r="AE41" s="208">
        <v>2.7</v>
      </c>
      <c r="AF41" s="208">
        <v>3</v>
      </c>
      <c r="AG41" s="208">
        <v>6</v>
      </c>
      <c r="AH41" s="203"/>
      <c r="AI41" s="203"/>
      <c r="AK41" s="208">
        <v>3.3</v>
      </c>
      <c r="AL41" s="27">
        <v>1.75</v>
      </c>
      <c r="AM41" s="203">
        <v>0</v>
      </c>
      <c r="AN41" s="203"/>
    </row>
    <row r="42" spans="1:44">
      <c r="A42" s="203" t="s">
        <v>504</v>
      </c>
      <c r="B42" t="s">
        <v>466</v>
      </c>
      <c r="C42" s="203" t="s">
        <v>467</v>
      </c>
      <c r="D42">
        <v>100</v>
      </c>
      <c r="E42">
        <v>4000</v>
      </c>
      <c r="F42">
        <v>0</v>
      </c>
      <c r="G42">
        <v>1588</v>
      </c>
      <c r="H42">
        <v>0.75</v>
      </c>
      <c r="K42" s="203" t="s">
        <v>297</v>
      </c>
      <c r="L42" s="203" t="s">
        <v>442</v>
      </c>
      <c r="M42" s="31">
        <v>567</v>
      </c>
      <c r="N42" s="31"/>
      <c r="O42" s="31">
        <v>2013</v>
      </c>
      <c r="P42" s="208" t="s">
        <v>337</v>
      </c>
      <c r="Q42" s="208" t="s">
        <v>337</v>
      </c>
      <c r="R42" s="208" t="s">
        <v>180</v>
      </c>
      <c r="S42" s="208" t="s">
        <v>353</v>
      </c>
      <c r="T42" s="208" t="s">
        <v>179</v>
      </c>
      <c r="U42" s="208" t="s">
        <v>344</v>
      </c>
      <c r="V42" s="208" t="s">
        <v>713</v>
      </c>
      <c r="W42" s="208" t="s">
        <v>356</v>
      </c>
      <c r="X42" s="208"/>
      <c r="Y42" s="208"/>
      <c r="AA42" s="208">
        <v>1</v>
      </c>
      <c r="AB42" s="208">
        <v>1.2</v>
      </c>
      <c r="AC42" s="208">
        <v>2</v>
      </c>
      <c r="AD42" s="208">
        <v>2.5</v>
      </c>
      <c r="AE42" s="208">
        <v>2.7</v>
      </c>
      <c r="AF42" s="208">
        <v>3</v>
      </c>
      <c r="AG42" s="208">
        <v>6</v>
      </c>
      <c r="AH42" s="203"/>
      <c r="AI42" s="203"/>
      <c r="AK42" s="208">
        <v>3.3</v>
      </c>
      <c r="AL42" s="27">
        <v>1.75</v>
      </c>
      <c r="AM42" s="203">
        <v>0</v>
      </c>
      <c r="AN42" s="203"/>
    </row>
    <row r="43" spans="1:44" s="29" customFormat="1">
      <c r="A43" s="27"/>
      <c r="I43" s="207"/>
      <c r="J43" s="207"/>
      <c r="Q43" s="31"/>
      <c r="R43" s="31"/>
      <c r="S43" s="31"/>
      <c r="T43" s="31"/>
      <c r="U43" s="31"/>
      <c r="V43" s="31"/>
      <c r="W43" s="31"/>
      <c r="X43" s="31"/>
      <c r="Y43" s="31"/>
      <c r="Z43" s="31"/>
      <c r="AA43" s="31"/>
      <c r="AB43" s="31"/>
      <c r="AC43" s="31"/>
      <c r="AD43" s="31"/>
      <c r="AE43" s="31"/>
      <c r="AF43" s="31"/>
      <c r="AG43" s="31"/>
      <c r="AH43" s="31"/>
      <c r="AI43" s="31"/>
      <c r="AJ43" s="31"/>
      <c r="AL43" s="30"/>
      <c r="AM43" s="30"/>
      <c r="AR43" s="217"/>
    </row>
    <row r="44" spans="1:44">
      <c r="B44" t="s">
        <v>291</v>
      </c>
      <c r="P44" s="208"/>
    </row>
    <row r="45" spans="1:44">
      <c r="A45" t="s">
        <v>291</v>
      </c>
      <c r="B45" t="s">
        <v>756</v>
      </c>
      <c r="C45" t="s">
        <v>469</v>
      </c>
      <c r="D45">
        <v>20</v>
      </c>
      <c r="E45">
        <v>200</v>
      </c>
      <c r="F45">
        <v>0</v>
      </c>
      <c r="G45">
        <v>4400</v>
      </c>
      <c r="H45">
        <v>0.35</v>
      </c>
      <c r="K45" s="203" t="s">
        <v>297</v>
      </c>
      <c r="L45" s="203" t="s">
        <v>442</v>
      </c>
      <c r="M45" s="31">
        <v>567</v>
      </c>
      <c r="N45" s="31"/>
      <c r="O45" s="31">
        <v>2013</v>
      </c>
      <c r="P45" s="208" t="s">
        <v>353</v>
      </c>
      <c r="Q45" s="208" t="s">
        <v>337</v>
      </c>
      <c r="R45" s="208" t="s">
        <v>180</v>
      </c>
      <c r="S45" s="208" t="s">
        <v>353</v>
      </c>
      <c r="T45" s="208" t="s">
        <v>179</v>
      </c>
      <c r="U45" s="208" t="s">
        <v>344</v>
      </c>
      <c r="V45" s="208" t="s">
        <v>713</v>
      </c>
      <c r="W45" s="208" t="s">
        <v>356</v>
      </c>
      <c r="X45" s="208"/>
      <c r="Y45" s="208"/>
      <c r="AA45" s="208">
        <v>0.5</v>
      </c>
      <c r="AB45" s="208">
        <v>0.6</v>
      </c>
      <c r="AC45" s="208">
        <v>1</v>
      </c>
      <c r="AD45" s="208">
        <v>1.25</v>
      </c>
      <c r="AE45" s="208">
        <v>1.35</v>
      </c>
      <c r="AF45" s="208">
        <v>1.5</v>
      </c>
      <c r="AG45" s="208">
        <v>3</v>
      </c>
      <c r="AK45" s="208">
        <v>2.06</v>
      </c>
      <c r="AL45" s="215">
        <v>1.64</v>
      </c>
      <c r="AM45" s="30">
        <v>0.5</v>
      </c>
      <c r="AN45" s="208" t="s">
        <v>353</v>
      </c>
    </row>
    <row r="46" spans="1:44">
      <c r="A46" s="203" t="s">
        <v>291</v>
      </c>
      <c r="B46" t="s">
        <v>757</v>
      </c>
      <c r="C46" t="s">
        <v>470</v>
      </c>
      <c r="D46">
        <v>200</v>
      </c>
      <c r="E46">
        <v>3000</v>
      </c>
      <c r="F46">
        <v>10.522</v>
      </c>
      <c r="G46">
        <v>0.1003</v>
      </c>
      <c r="H46">
        <v>4.3029999999999999E-2</v>
      </c>
      <c r="I46" s="208">
        <v>0</v>
      </c>
      <c r="J46" s="208">
        <v>0</v>
      </c>
      <c r="K46" s="203" t="s">
        <v>557</v>
      </c>
      <c r="L46" s="203" t="s">
        <v>442</v>
      </c>
      <c r="M46" s="31">
        <v>567</v>
      </c>
      <c r="N46" s="31"/>
      <c r="O46" s="31">
        <v>2013</v>
      </c>
      <c r="P46" s="208" t="s">
        <v>353</v>
      </c>
      <c r="Q46" s="208" t="s">
        <v>337</v>
      </c>
      <c r="R46" s="208" t="s">
        <v>180</v>
      </c>
      <c r="S46" s="208" t="s">
        <v>353</v>
      </c>
      <c r="T46" s="208" t="s">
        <v>179</v>
      </c>
      <c r="U46" s="208" t="s">
        <v>344</v>
      </c>
      <c r="V46" s="208" t="s">
        <v>713</v>
      </c>
      <c r="W46" s="208" t="s">
        <v>356</v>
      </c>
      <c r="X46" s="208"/>
      <c r="Y46" s="208"/>
      <c r="AA46" s="208">
        <v>0.5</v>
      </c>
      <c r="AB46" s="208">
        <v>0.6</v>
      </c>
      <c r="AC46" s="208">
        <v>1</v>
      </c>
      <c r="AD46" s="208">
        <v>1.25</v>
      </c>
      <c r="AE46" s="208">
        <v>1.35</v>
      </c>
      <c r="AF46" s="208">
        <v>1.5</v>
      </c>
      <c r="AG46" s="208">
        <v>3</v>
      </c>
      <c r="AK46" s="208">
        <v>2.06</v>
      </c>
      <c r="AL46" s="215">
        <v>1.64</v>
      </c>
      <c r="AM46" s="214">
        <v>0.5</v>
      </c>
      <c r="AN46" s="208" t="s">
        <v>353</v>
      </c>
    </row>
    <row r="47" spans="1:44">
      <c r="A47" s="203" t="s">
        <v>291</v>
      </c>
      <c r="B47" t="s">
        <v>758</v>
      </c>
      <c r="C47" t="s">
        <v>471</v>
      </c>
      <c r="D47">
        <v>100</v>
      </c>
      <c r="E47">
        <v>1400</v>
      </c>
      <c r="F47">
        <v>0</v>
      </c>
      <c r="G47">
        <v>1520</v>
      </c>
      <c r="H47">
        <v>0.8</v>
      </c>
      <c r="K47" s="203" t="s">
        <v>297</v>
      </c>
      <c r="L47" s="203" t="s">
        <v>442</v>
      </c>
      <c r="M47" s="31">
        <v>567</v>
      </c>
      <c r="N47" s="31"/>
      <c r="O47" s="31">
        <v>2013</v>
      </c>
      <c r="P47" s="208" t="s">
        <v>353</v>
      </c>
      <c r="Q47" s="208" t="s">
        <v>337</v>
      </c>
      <c r="R47" s="208" t="s">
        <v>180</v>
      </c>
      <c r="S47" s="208" t="s">
        <v>353</v>
      </c>
      <c r="T47" s="208" t="s">
        <v>179</v>
      </c>
      <c r="U47" s="208" t="s">
        <v>344</v>
      </c>
      <c r="V47" s="208" t="s">
        <v>713</v>
      </c>
      <c r="W47" s="208" t="s">
        <v>356</v>
      </c>
      <c r="X47" s="208"/>
      <c r="Y47" s="208"/>
      <c r="AA47" s="208">
        <v>0.5</v>
      </c>
      <c r="AB47" s="208">
        <v>0.6</v>
      </c>
      <c r="AC47" s="208">
        <v>1</v>
      </c>
      <c r="AD47" s="208">
        <v>1.25</v>
      </c>
      <c r="AE47" s="208">
        <v>1.35</v>
      </c>
      <c r="AF47" s="208">
        <v>1.5</v>
      </c>
      <c r="AG47" s="208">
        <v>3</v>
      </c>
      <c r="AK47" s="208">
        <v>2.06</v>
      </c>
      <c r="AL47" s="215">
        <v>1.64</v>
      </c>
      <c r="AM47" s="214">
        <v>0.5</v>
      </c>
      <c r="AN47" s="208" t="s">
        <v>353</v>
      </c>
    </row>
    <row r="48" spans="1:44">
      <c r="A48" s="203" t="s">
        <v>291</v>
      </c>
      <c r="B48" t="s">
        <v>759</v>
      </c>
      <c r="C48" t="s">
        <v>471</v>
      </c>
      <c r="D48">
        <v>60</v>
      </c>
      <c r="E48">
        <v>480</v>
      </c>
      <c r="F48">
        <v>0</v>
      </c>
      <c r="G48">
        <v>32000</v>
      </c>
      <c r="H48">
        <v>0.49</v>
      </c>
      <c r="K48" s="203" t="s">
        <v>297</v>
      </c>
      <c r="L48" s="203" t="s">
        <v>442</v>
      </c>
      <c r="M48" s="31">
        <v>567</v>
      </c>
      <c r="N48" s="31"/>
      <c r="O48" s="31">
        <v>2013</v>
      </c>
      <c r="P48" s="208" t="s">
        <v>353</v>
      </c>
      <c r="Q48" s="208" t="s">
        <v>337</v>
      </c>
      <c r="R48" s="208" t="s">
        <v>180</v>
      </c>
      <c r="S48" s="208" t="s">
        <v>353</v>
      </c>
      <c r="T48" s="208" t="s">
        <v>179</v>
      </c>
      <c r="U48" s="208" t="s">
        <v>344</v>
      </c>
      <c r="V48" s="208" t="s">
        <v>713</v>
      </c>
      <c r="W48" s="208" t="s">
        <v>356</v>
      </c>
      <c r="X48" s="208"/>
      <c r="Y48" s="208"/>
      <c r="AA48" s="208">
        <v>0.5</v>
      </c>
      <c r="AB48" s="208">
        <v>0.6</v>
      </c>
      <c r="AC48" s="208">
        <v>1</v>
      </c>
      <c r="AD48" s="208">
        <v>1.25</v>
      </c>
      <c r="AE48" s="208">
        <v>1.35</v>
      </c>
      <c r="AF48" s="208">
        <v>1.5</v>
      </c>
      <c r="AG48" s="208">
        <v>3</v>
      </c>
      <c r="AH48" s="203"/>
      <c r="AI48" s="203"/>
      <c r="AK48" s="208">
        <v>2.06</v>
      </c>
      <c r="AL48" s="215">
        <v>1.64</v>
      </c>
      <c r="AM48" s="214">
        <v>0.5</v>
      </c>
      <c r="AN48" s="208" t="s">
        <v>353</v>
      </c>
    </row>
    <row r="49" spans="1:44">
      <c r="A49" s="203" t="s">
        <v>291</v>
      </c>
      <c r="B49" t="s">
        <v>760</v>
      </c>
      <c r="C49" t="s">
        <v>472</v>
      </c>
      <c r="D49">
        <v>30</v>
      </c>
      <c r="E49">
        <v>3000</v>
      </c>
      <c r="F49">
        <v>8.5132999999999992</v>
      </c>
      <c r="G49">
        <v>0.98470000000000002</v>
      </c>
      <c r="H49">
        <v>-5.6099999999999997E-2</v>
      </c>
      <c r="I49" s="208">
        <v>0</v>
      </c>
      <c r="J49" s="208">
        <v>0</v>
      </c>
      <c r="K49" s="204" t="s">
        <v>557</v>
      </c>
      <c r="L49" s="203" t="s">
        <v>442</v>
      </c>
      <c r="M49" s="31">
        <v>567</v>
      </c>
      <c r="N49" s="31"/>
      <c r="O49" s="31">
        <v>2013</v>
      </c>
      <c r="P49" s="208" t="s">
        <v>353</v>
      </c>
      <c r="Q49" s="208" t="s">
        <v>337</v>
      </c>
      <c r="R49" s="208" t="s">
        <v>180</v>
      </c>
      <c r="S49" s="208" t="s">
        <v>353</v>
      </c>
      <c r="T49" s="208" t="s">
        <v>179</v>
      </c>
      <c r="U49" s="208" t="s">
        <v>344</v>
      </c>
      <c r="V49" s="208" t="s">
        <v>713</v>
      </c>
      <c r="W49" s="208" t="s">
        <v>356</v>
      </c>
      <c r="X49" s="208"/>
      <c r="Y49" s="208"/>
      <c r="AA49" s="208">
        <v>0.5</v>
      </c>
      <c r="AB49" s="208">
        <v>0.6</v>
      </c>
      <c r="AC49" s="208">
        <v>1</v>
      </c>
      <c r="AD49" s="208">
        <v>1.25</v>
      </c>
      <c r="AE49" s="208">
        <v>1.35</v>
      </c>
      <c r="AF49" s="208">
        <v>1.5</v>
      </c>
      <c r="AG49" s="208">
        <v>3</v>
      </c>
      <c r="AH49" s="203"/>
      <c r="AI49" s="203"/>
      <c r="AK49" s="208">
        <v>2.06</v>
      </c>
      <c r="AL49" s="215">
        <v>1.64</v>
      </c>
      <c r="AM49" s="214">
        <v>1</v>
      </c>
      <c r="AN49" s="208" t="s">
        <v>353</v>
      </c>
    </row>
    <row r="50" spans="1:44" s="359" customFormat="1">
      <c r="A50" s="359" t="s">
        <v>291</v>
      </c>
      <c r="B50" s="359" t="s">
        <v>1107</v>
      </c>
      <c r="C50" s="359" t="s">
        <v>1108</v>
      </c>
      <c r="D50" s="359">
        <v>21</v>
      </c>
      <c r="E50" s="359">
        <v>58</v>
      </c>
      <c r="F50" s="359">
        <v>0</v>
      </c>
      <c r="G50" s="359">
        <v>64317.32916703284</v>
      </c>
      <c r="H50" s="359">
        <v>0.27979837638876615</v>
      </c>
      <c r="K50" s="359" t="s">
        <v>297</v>
      </c>
      <c r="L50" s="359" t="s">
        <v>1109</v>
      </c>
      <c r="M50" s="31"/>
      <c r="N50" s="31"/>
      <c r="O50" s="31">
        <v>1994</v>
      </c>
      <c r="Q50" s="359" t="s">
        <v>337</v>
      </c>
      <c r="R50" s="31" t="s">
        <v>340</v>
      </c>
      <c r="AA50" s="359">
        <v>1</v>
      </c>
      <c r="AB50" s="359">
        <v>1.75</v>
      </c>
      <c r="AK50" s="359">
        <v>2.06</v>
      </c>
      <c r="AL50" s="359">
        <v>1.64</v>
      </c>
      <c r="AM50" s="359">
        <v>0.5</v>
      </c>
      <c r="AN50" s="359" t="s">
        <v>1110</v>
      </c>
    </row>
    <row r="51" spans="1:44" s="359" customFormat="1">
      <c r="A51" s="359" t="s">
        <v>291</v>
      </c>
      <c r="B51" s="359" t="s">
        <v>1111</v>
      </c>
      <c r="C51" s="359" t="s">
        <v>1108</v>
      </c>
      <c r="D51" s="359">
        <v>58</v>
      </c>
      <c r="E51" s="359">
        <v>135</v>
      </c>
      <c r="F51" s="359">
        <v>0</v>
      </c>
      <c r="G51" s="359">
        <v>47038.99696834122</v>
      </c>
      <c r="H51" s="359">
        <v>0.3563691516583764</v>
      </c>
      <c r="K51" s="359" t="s">
        <v>297</v>
      </c>
      <c r="L51" s="359" t="s">
        <v>1109</v>
      </c>
      <c r="M51" s="31"/>
      <c r="N51" s="31"/>
      <c r="O51" s="31">
        <v>1994</v>
      </c>
      <c r="Q51" s="359" t="s">
        <v>337</v>
      </c>
      <c r="R51" s="31" t="s">
        <v>340</v>
      </c>
      <c r="AA51" s="359">
        <v>1</v>
      </c>
      <c r="AB51" s="359">
        <v>1.75</v>
      </c>
      <c r="AK51" s="359">
        <v>2.06</v>
      </c>
      <c r="AL51" s="359">
        <v>1.64</v>
      </c>
      <c r="AM51" s="359">
        <v>0.5</v>
      </c>
      <c r="AN51" s="359" t="s">
        <v>1112</v>
      </c>
    </row>
    <row r="52" spans="1:44" s="359" customFormat="1">
      <c r="A52" s="359" t="s">
        <v>291</v>
      </c>
      <c r="B52" s="359" t="s">
        <v>1113</v>
      </c>
      <c r="C52" s="359" t="s">
        <v>1108</v>
      </c>
      <c r="D52" s="359">
        <v>118</v>
      </c>
      <c r="E52" s="359">
        <v>350</v>
      </c>
      <c r="F52" s="359">
        <v>0</v>
      </c>
      <c r="G52" s="359">
        <v>45048.151158472952</v>
      </c>
      <c r="H52" s="359">
        <v>0.34885155620092356</v>
      </c>
      <c r="K52" s="359" t="s">
        <v>297</v>
      </c>
      <c r="L52" s="359" t="s">
        <v>1109</v>
      </c>
      <c r="M52" s="31"/>
      <c r="N52" s="31"/>
      <c r="O52" s="31">
        <v>1994</v>
      </c>
      <c r="Q52" s="359" t="s">
        <v>337</v>
      </c>
      <c r="R52" s="31" t="s">
        <v>340</v>
      </c>
      <c r="AA52" s="359">
        <v>1</v>
      </c>
      <c r="AB52" s="359">
        <v>1.75</v>
      </c>
      <c r="AK52" s="31">
        <v>2.06</v>
      </c>
      <c r="AL52" s="359">
        <v>1.64</v>
      </c>
      <c r="AM52" s="359">
        <v>0.5</v>
      </c>
      <c r="AN52" s="359" t="s">
        <v>1114</v>
      </c>
    </row>
    <row r="53" spans="1:44" s="359" customFormat="1">
      <c r="A53" s="359" t="s">
        <v>291</v>
      </c>
      <c r="B53" s="359" t="s">
        <v>1115</v>
      </c>
      <c r="C53" s="359" t="s">
        <v>1108</v>
      </c>
      <c r="D53" s="359">
        <v>350</v>
      </c>
      <c r="E53" s="359">
        <v>1200</v>
      </c>
      <c r="F53" s="359">
        <v>0</v>
      </c>
      <c r="G53" s="359">
        <v>5627.9600808820123</v>
      </c>
      <c r="H53" s="359">
        <v>0.76527199402401247</v>
      </c>
      <c r="K53" s="359" t="s">
        <v>297</v>
      </c>
      <c r="L53" s="359" t="s">
        <v>1109</v>
      </c>
      <c r="M53" s="31"/>
      <c r="N53" s="31"/>
      <c r="O53" s="31">
        <v>1994</v>
      </c>
      <c r="Q53" s="359" t="s">
        <v>337</v>
      </c>
      <c r="R53" s="31" t="s">
        <v>340</v>
      </c>
      <c r="AA53" s="359">
        <v>1</v>
      </c>
      <c r="AB53" s="359">
        <v>1.75</v>
      </c>
      <c r="AK53" s="31">
        <v>2.06</v>
      </c>
      <c r="AL53" s="359">
        <v>1.64</v>
      </c>
      <c r="AM53" s="359">
        <v>0.5</v>
      </c>
      <c r="AN53" s="359" t="s">
        <v>1116</v>
      </c>
    </row>
    <row r="54" spans="1:44" s="29" customFormat="1">
      <c r="A54" s="29" t="s">
        <v>291</v>
      </c>
      <c r="B54" s="29" t="s">
        <v>762</v>
      </c>
      <c r="C54" s="29" t="s">
        <v>250</v>
      </c>
      <c r="D54" s="29">
        <v>11</v>
      </c>
      <c r="E54" s="29">
        <v>180</v>
      </c>
      <c r="F54" s="29">
        <v>15000</v>
      </c>
      <c r="G54" s="29">
        <v>10500</v>
      </c>
      <c r="H54" s="29">
        <v>0.9</v>
      </c>
      <c r="I54" s="207"/>
      <c r="J54" s="207"/>
      <c r="K54" s="29" t="s">
        <v>297</v>
      </c>
      <c r="L54" s="200" t="s">
        <v>443</v>
      </c>
      <c r="M54" s="29">
        <v>532.9</v>
      </c>
      <c r="N54" s="29">
        <v>2281.6</v>
      </c>
      <c r="O54" s="29">
        <v>2010</v>
      </c>
      <c r="Q54" s="31" t="s">
        <v>337</v>
      </c>
      <c r="R54" s="31" t="s">
        <v>338</v>
      </c>
      <c r="S54" s="31" t="s">
        <v>339</v>
      </c>
      <c r="T54" s="31" t="s">
        <v>340</v>
      </c>
      <c r="U54" s="31" t="s">
        <v>341</v>
      </c>
      <c r="V54" s="31" t="s">
        <v>342</v>
      </c>
      <c r="W54" s="31" t="s">
        <v>343</v>
      </c>
      <c r="X54" s="31" t="s">
        <v>344</v>
      </c>
      <c r="Y54" s="31" t="s">
        <v>345</v>
      </c>
      <c r="Z54" s="31"/>
      <c r="AA54" s="31">
        <v>1</v>
      </c>
      <c r="AB54" s="31">
        <v>1.07</v>
      </c>
      <c r="AC54" s="31">
        <v>1.1000000000000001</v>
      </c>
      <c r="AD54" s="31">
        <v>1.3</v>
      </c>
      <c r="AE54" s="31">
        <v>1.3</v>
      </c>
      <c r="AF54" s="31">
        <v>1.5</v>
      </c>
      <c r="AG54" s="31">
        <v>1.55</v>
      </c>
      <c r="AH54" s="31">
        <v>1.65</v>
      </c>
      <c r="AI54" s="31">
        <v>1.7</v>
      </c>
      <c r="AJ54" s="31"/>
      <c r="AK54" s="31">
        <v>2.06</v>
      </c>
      <c r="AL54" s="30">
        <v>1.64</v>
      </c>
      <c r="AM54" s="214">
        <v>0.5</v>
      </c>
      <c r="AR54" s="217"/>
    </row>
    <row r="55" spans="1:44" s="29" customFormat="1">
      <c r="A55" s="29" t="s">
        <v>291</v>
      </c>
      <c r="B55" s="29" t="s">
        <v>763</v>
      </c>
      <c r="C55" s="29" t="s">
        <v>251</v>
      </c>
      <c r="D55" s="29">
        <v>3</v>
      </c>
      <c r="E55" s="29">
        <v>20</v>
      </c>
      <c r="F55" s="29">
        <v>10000</v>
      </c>
      <c r="G55" s="29">
        <v>7900</v>
      </c>
      <c r="H55" s="29">
        <v>0.5</v>
      </c>
      <c r="I55" s="207"/>
      <c r="J55" s="207"/>
      <c r="K55" s="29" t="s">
        <v>297</v>
      </c>
      <c r="L55" s="200" t="s">
        <v>443</v>
      </c>
      <c r="M55" s="29">
        <v>532.9</v>
      </c>
      <c r="N55" s="29">
        <v>2281.6</v>
      </c>
      <c r="O55" s="29">
        <v>2010</v>
      </c>
      <c r="Q55" s="31" t="s">
        <v>337</v>
      </c>
      <c r="R55" s="31" t="s">
        <v>338</v>
      </c>
      <c r="S55" s="31" t="s">
        <v>339</v>
      </c>
      <c r="T55" s="31" t="s">
        <v>340</v>
      </c>
      <c r="U55" s="31" t="s">
        <v>341</v>
      </c>
      <c r="V55" s="31" t="s">
        <v>342</v>
      </c>
      <c r="W55" s="31" t="s">
        <v>343</v>
      </c>
      <c r="X55" s="31" t="s">
        <v>344</v>
      </c>
      <c r="Y55" s="31" t="s">
        <v>345</v>
      </c>
      <c r="Z55" s="31"/>
      <c r="AA55" s="31">
        <v>1</v>
      </c>
      <c r="AB55" s="31">
        <v>1.07</v>
      </c>
      <c r="AC55" s="31">
        <v>1.1000000000000001</v>
      </c>
      <c r="AD55" s="31">
        <v>1.3</v>
      </c>
      <c r="AE55" s="31">
        <v>1.3</v>
      </c>
      <c r="AF55" s="31">
        <v>1.5</v>
      </c>
      <c r="AG55" s="31">
        <v>1.55</v>
      </c>
      <c r="AH55" s="31">
        <v>1.65</v>
      </c>
      <c r="AI55" s="31">
        <v>1.7</v>
      </c>
      <c r="AJ55" s="31"/>
      <c r="AK55" s="31">
        <v>2.06</v>
      </c>
      <c r="AL55" s="30">
        <v>1.64</v>
      </c>
      <c r="AM55" s="214">
        <v>0.5</v>
      </c>
      <c r="AR55" s="217"/>
    </row>
    <row r="56" spans="1:44" s="29" customFormat="1">
      <c r="A56" s="29" t="s">
        <v>291</v>
      </c>
      <c r="B56" s="29" t="s">
        <v>761</v>
      </c>
      <c r="C56" s="29" t="s">
        <v>252</v>
      </c>
      <c r="D56" s="29">
        <v>400</v>
      </c>
      <c r="E56" s="29">
        <v>4000</v>
      </c>
      <c r="F56" s="29">
        <v>410000</v>
      </c>
      <c r="G56" s="29">
        <v>2200</v>
      </c>
      <c r="H56" s="29">
        <v>0.7</v>
      </c>
      <c r="I56" s="207"/>
      <c r="J56" s="207"/>
      <c r="K56" s="29" t="s">
        <v>297</v>
      </c>
      <c r="L56" s="200" t="s">
        <v>443</v>
      </c>
      <c r="M56" s="29">
        <v>532.9</v>
      </c>
      <c r="N56" s="29">
        <v>2281.6</v>
      </c>
      <c r="O56" s="29">
        <v>2010</v>
      </c>
      <c r="Q56" s="31" t="s">
        <v>337</v>
      </c>
      <c r="R56" s="31" t="s">
        <v>338</v>
      </c>
      <c r="S56" s="31" t="s">
        <v>339</v>
      </c>
      <c r="T56" s="31" t="s">
        <v>340</v>
      </c>
      <c r="U56" s="31" t="s">
        <v>341</v>
      </c>
      <c r="V56" s="31" t="s">
        <v>342</v>
      </c>
      <c r="W56" s="31" t="s">
        <v>343</v>
      </c>
      <c r="X56" s="31" t="s">
        <v>344</v>
      </c>
      <c r="Y56" s="31" t="s">
        <v>345</v>
      </c>
      <c r="Z56" s="31"/>
      <c r="AA56" s="31">
        <v>1</v>
      </c>
      <c r="AB56" s="31">
        <v>1.07</v>
      </c>
      <c r="AC56" s="31">
        <v>1.1000000000000001</v>
      </c>
      <c r="AD56" s="31">
        <v>1.3</v>
      </c>
      <c r="AE56" s="31">
        <v>1.3</v>
      </c>
      <c r="AF56" s="31">
        <v>1.5</v>
      </c>
      <c r="AG56" s="31">
        <v>1.55</v>
      </c>
      <c r="AH56" s="31">
        <v>1.65</v>
      </c>
      <c r="AI56" s="31">
        <v>1.7</v>
      </c>
      <c r="AJ56" s="31"/>
      <c r="AK56" s="31">
        <v>2.06</v>
      </c>
      <c r="AL56" s="30">
        <v>1.64</v>
      </c>
      <c r="AM56" s="214">
        <v>1</v>
      </c>
      <c r="AR56" s="217"/>
    </row>
    <row r="57" spans="1:44" s="29" customFormat="1">
      <c r="I57" s="207"/>
      <c r="J57" s="207"/>
      <c r="R57" s="30"/>
      <c r="S57" s="30"/>
      <c r="T57" s="30"/>
      <c r="U57" s="30"/>
      <c r="V57" s="30"/>
      <c r="W57" s="30"/>
      <c r="X57" s="30"/>
      <c r="Y57" s="30"/>
      <c r="Z57" s="208"/>
      <c r="AA57" s="30"/>
      <c r="AB57" s="30"/>
      <c r="AC57" s="30"/>
      <c r="AD57" s="30"/>
      <c r="AE57" s="30"/>
      <c r="AF57" s="30"/>
      <c r="AG57" s="30"/>
      <c r="AH57" s="30"/>
      <c r="AI57" s="30"/>
      <c r="AJ57" s="208"/>
      <c r="AL57" s="30"/>
      <c r="AM57" s="30"/>
      <c r="AR57" s="217"/>
    </row>
    <row r="58" spans="1:44">
      <c r="B58" t="s">
        <v>491</v>
      </c>
      <c r="P58" s="208"/>
    </row>
    <row r="59" spans="1:44">
      <c r="A59" s="203" t="s">
        <v>491</v>
      </c>
      <c r="B59" t="s">
        <v>473</v>
      </c>
      <c r="C59" t="s">
        <v>477</v>
      </c>
      <c r="D59">
        <v>5000</v>
      </c>
      <c r="E59">
        <v>2000000</v>
      </c>
      <c r="F59">
        <v>10.383800000000001</v>
      </c>
      <c r="G59">
        <v>-0.43809999999999999</v>
      </c>
      <c r="H59">
        <v>5.5563000000000001E-2</v>
      </c>
      <c r="I59" s="208">
        <v>0</v>
      </c>
      <c r="J59" s="208">
        <v>0</v>
      </c>
      <c r="K59" s="204" t="s">
        <v>557</v>
      </c>
      <c r="L59" s="203" t="s">
        <v>442</v>
      </c>
      <c r="M59" s="31">
        <v>567</v>
      </c>
      <c r="N59" s="31"/>
      <c r="O59" s="31">
        <v>2013</v>
      </c>
      <c r="P59" s="208" t="s">
        <v>337</v>
      </c>
      <c r="Q59" s="208" t="s">
        <v>337</v>
      </c>
      <c r="R59" s="208" t="s">
        <v>180</v>
      </c>
      <c r="S59" s="208" t="s">
        <v>353</v>
      </c>
      <c r="T59" s="208" t="s">
        <v>179</v>
      </c>
      <c r="U59" s="208" t="s">
        <v>344</v>
      </c>
      <c r="V59" s="208" t="s">
        <v>713</v>
      </c>
      <c r="W59" s="208" t="s">
        <v>356</v>
      </c>
      <c r="X59" s="208"/>
      <c r="Y59" s="208"/>
      <c r="AA59" s="208">
        <v>1</v>
      </c>
      <c r="AB59" s="208">
        <v>1.2</v>
      </c>
      <c r="AC59" s="208">
        <v>2</v>
      </c>
      <c r="AD59" s="208">
        <v>2.5</v>
      </c>
      <c r="AE59" s="208">
        <v>2.7</v>
      </c>
      <c r="AF59" s="208">
        <v>3</v>
      </c>
      <c r="AG59" s="208">
        <v>6</v>
      </c>
      <c r="AH59" s="203"/>
      <c r="AI59" s="203"/>
      <c r="AK59" s="208">
        <v>2.3199999999999998</v>
      </c>
      <c r="AL59" s="203">
        <v>1.9</v>
      </c>
      <c r="AM59" s="203">
        <v>0.1</v>
      </c>
      <c r="AN59" s="203" t="s">
        <v>715</v>
      </c>
    </row>
    <row r="60" spans="1:44">
      <c r="A60" s="203" t="s">
        <v>491</v>
      </c>
      <c r="B60" t="s">
        <v>474</v>
      </c>
      <c r="C60" s="203" t="s">
        <v>477</v>
      </c>
      <c r="D60">
        <v>200</v>
      </c>
      <c r="E60">
        <v>100000</v>
      </c>
      <c r="F60">
        <v>9.3484999999999996</v>
      </c>
      <c r="G60">
        <v>-0.78920000000000001</v>
      </c>
      <c r="H60">
        <v>8.4870000000000001E-2</v>
      </c>
      <c r="I60" s="208">
        <v>0</v>
      </c>
      <c r="J60" s="208">
        <v>0</v>
      </c>
      <c r="K60" s="204" t="s">
        <v>557</v>
      </c>
      <c r="L60" s="203" t="s">
        <v>442</v>
      </c>
      <c r="M60" s="31">
        <v>567</v>
      </c>
      <c r="N60" s="31"/>
      <c r="O60" s="31">
        <v>2013</v>
      </c>
      <c r="P60" s="208" t="s">
        <v>337</v>
      </c>
      <c r="Q60" s="208" t="s">
        <v>337</v>
      </c>
      <c r="R60" s="208" t="s">
        <v>180</v>
      </c>
      <c r="S60" s="208" t="s">
        <v>353</v>
      </c>
      <c r="T60" s="208" t="s">
        <v>179</v>
      </c>
      <c r="U60" s="208" t="s">
        <v>344</v>
      </c>
      <c r="V60" s="208" t="s">
        <v>713</v>
      </c>
      <c r="W60" s="208" t="s">
        <v>356</v>
      </c>
      <c r="X60" s="208"/>
      <c r="Y60" s="208"/>
      <c r="AA60" s="208">
        <v>1</v>
      </c>
      <c r="AB60" s="208">
        <v>1.2</v>
      </c>
      <c r="AC60" s="208">
        <v>2</v>
      </c>
      <c r="AD60" s="208">
        <v>2.5</v>
      </c>
      <c r="AE60" s="208">
        <v>2.7</v>
      </c>
      <c r="AF60" s="208">
        <v>3</v>
      </c>
      <c r="AG60" s="208">
        <v>6</v>
      </c>
      <c r="AH60" s="203"/>
      <c r="AI60" s="203"/>
      <c r="AK60" s="203" t="s">
        <v>162</v>
      </c>
      <c r="AL60" s="203">
        <v>1.9</v>
      </c>
      <c r="AM60" s="203">
        <v>0</v>
      </c>
      <c r="AN60" s="208" t="s">
        <v>716</v>
      </c>
    </row>
    <row r="61" spans="1:44">
      <c r="A61" s="203" t="s">
        <v>491</v>
      </c>
      <c r="B61" t="s">
        <v>475</v>
      </c>
      <c r="C61" s="203" t="s">
        <v>477</v>
      </c>
      <c r="D61">
        <v>10000</v>
      </c>
      <c r="E61">
        <v>2000000</v>
      </c>
      <c r="F61">
        <v>11.8058</v>
      </c>
      <c r="G61">
        <v>-0.53</v>
      </c>
      <c r="H61">
        <v>5.4539999999999998E-2</v>
      </c>
      <c r="I61" s="208">
        <v>0</v>
      </c>
      <c r="J61" s="208">
        <v>0</v>
      </c>
      <c r="K61" s="204" t="s">
        <v>557</v>
      </c>
      <c r="L61" s="203" t="s">
        <v>442</v>
      </c>
      <c r="M61" s="31">
        <v>567</v>
      </c>
      <c r="N61" s="31"/>
      <c r="O61" s="31">
        <v>2013</v>
      </c>
      <c r="P61" s="208" t="s">
        <v>337</v>
      </c>
      <c r="Q61" s="208" t="s">
        <v>337</v>
      </c>
      <c r="R61" s="208" t="s">
        <v>180</v>
      </c>
      <c r="S61" s="208" t="s">
        <v>353</v>
      </c>
      <c r="T61" s="208" t="s">
        <v>179</v>
      </c>
      <c r="U61" s="208" t="s">
        <v>344</v>
      </c>
      <c r="V61" s="208" t="s">
        <v>713</v>
      </c>
      <c r="W61" s="208" t="s">
        <v>356</v>
      </c>
      <c r="X61" s="208"/>
      <c r="Y61" s="208"/>
      <c r="AA61" s="208">
        <v>1</v>
      </c>
      <c r="AB61" s="208">
        <v>1.2</v>
      </c>
      <c r="AC61" s="208">
        <v>2</v>
      </c>
      <c r="AD61" s="208">
        <v>2.5</v>
      </c>
      <c r="AE61" s="208">
        <v>2.7</v>
      </c>
      <c r="AF61" s="208">
        <v>3</v>
      </c>
      <c r="AG61" s="208">
        <v>6</v>
      </c>
      <c r="AH61" s="203"/>
      <c r="AI61" s="203"/>
      <c r="AK61" s="203" t="s">
        <v>162</v>
      </c>
      <c r="AL61" s="203">
        <v>1.9</v>
      </c>
      <c r="AM61" s="203">
        <v>0.1</v>
      </c>
      <c r="AN61" s="208" t="s">
        <v>717</v>
      </c>
    </row>
    <row r="62" spans="1:44">
      <c r="A62" s="203" t="s">
        <v>491</v>
      </c>
      <c r="B62" t="s">
        <v>476</v>
      </c>
      <c r="C62" s="203" t="s">
        <v>477</v>
      </c>
      <c r="D62">
        <v>2000</v>
      </c>
      <c r="E62">
        <v>20000</v>
      </c>
      <c r="F62">
        <v>9.7413000000000007</v>
      </c>
      <c r="G62">
        <v>-0.3281</v>
      </c>
      <c r="H62">
        <v>0.05</v>
      </c>
      <c r="I62" s="208">
        <v>0</v>
      </c>
      <c r="J62" s="208">
        <v>0</v>
      </c>
      <c r="K62" s="204" t="s">
        <v>557</v>
      </c>
      <c r="L62" s="203" t="s">
        <v>442</v>
      </c>
      <c r="M62" s="31">
        <v>567</v>
      </c>
      <c r="N62" s="31"/>
      <c r="O62" s="31">
        <v>2013</v>
      </c>
      <c r="P62" s="208" t="s">
        <v>337</v>
      </c>
      <c r="Q62" s="208" t="s">
        <v>337</v>
      </c>
      <c r="R62" s="208" t="s">
        <v>180</v>
      </c>
      <c r="S62" s="208" t="s">
        <v>353</v>
      </c>
      <c r="T62" s="208" t="s">
        <v>179</v>
      </c>
      <c r="U62" s="208" t="s">
        <v>344</v>
      </c>
      <c r="V62" s="208" t="s">
        <v>713</v>
      </c>
      <c r="W62" s="208" t="s">
        <v>356</v>
      </c>
      <c r="X62" s="208"/>
      <c r="Y62" s="208"/>
      <c r="AA62" s="208">
        <v>1</v>
      </c>
      <c r="AB62" s="208">
        <v>1.2</v>
      </c>
      <c r="AC62" s="208">
        <v>2</v>
      </c>
      <c r="AD62" s="208">
        <v>2.5</v>
      </c>
      <c r="AE62" s="208">
        <v>2.7</v>
      </c>
      <c r="AF62" s="208">
        <v>3</v>
      </c>
      <c r="AG62" s="208">
        <v>6</v>
      </c>
      <c r="AH62" s="203"/>
      <c r="AI62" s="203"/>
      <c r="AK62" s="203" t="s">
        <v>162</v>
      </c>
      <c r="AL62" s="203">
        <v>1.9</v>
      </c>
      <c r="AM62" s="27">
        <v>0.1</v>
      </c>
      <c r="AN62" s="208" t="s">
        <v>718</v>
      </c>
    </row>
    <row r="63" spans="1:44" s="209" customFormat="1">
      <c r="M63" s="31"/>
      <c r="N63" s="31"/>
      <c r="O63" s="31"/>
      <c r="AR63" s="217"/>
    </row>
    <row r="64" spans="1:44">
      <c r="B64" t="s">
        <v>732</v>
      </c>
      <c r="P64" s="208"/>
    </row>
    <row r="65" spans="1:44">
      <c r="A65" s="295" t="s">
        <v>732</v>
      </c>
      <c r="B65" t="s">
        <v>478</v>
      </c>
      <c r="C65" t="s">
        <v>482</v>
      </c>
      <c r="D65">
        <v>100</v>
      </c>
      <c r="E65">
        <v>8000</v>
      </c>
      <c r="F65">
        <v>0</v>
      </c>
      <c r="G65">
        <v>4604</v>
      </c>
      <c r="H65">
        <v>0.53</v>
      </c>
      <c r="K65" s="203" t="s">
        <v>297</v>
      </c>
      <c r="L65" s="203" t="s">
        <v>442</v>
      </c>
      <c r="M65" s="31">
        <v>567</v>
      </c>
      <c r="N65" s="31"/>
      <c r="O65" s="31">
        <v>2013</v>
      </c>
      <c r="P65" s="208" t="s">
        <v>337</v>
      </c>
      <c r="Q65" s="208" t="s">
        <v>337</v>
      </c>
      <c r="R65" s="208" t="s">
        <v>180</v>
      </c>
      <c r="S65" s="208" t="s">
        <v>353</v>
      </c>
      <c r="T65" s="208" t="s">
        <v>179</v>
      </c>
      <c r="U65" s="208" t="s">
        <v>344</v>
      </c>
      <c r="V65" s="208" t="s">
        <v>713</v>
      </c>
      <c r="W65" s="208" t="s">
        <v>356</v>
      </c>
      <c r="X65" s="208"/>
      <c r="Y65" s="208"/>
      <c r="AA65" s="208">
        <v>1</v>
      </c>
      <c r="AB65" s="208">
        <v>1.2</v>
      </c>
      <c r="AC65" s="208">
        <v>2</v>
      </c>
      <c r="AD65" s="208">
        <v>2.5</v>
      </c>
      <c r="AE65" s="208">
        <v>2.7</v>
      </c>
      <c r="AF65" s="208">
        <v>3</v>
      </c>
      <c r="AG65" s="208">
        <v>6</v>
      </c>
      <c r="AH65" s="203"/>
      <c r="AI65" s="203"/>
      <c r="AK65" s="208">
        <v>2.4500000000000002</v>
      </c>
      <c r="AL65" s="215">
        <v>2.09</v>
      </c>
      <c r="AM65" s="214">
        <v>0.25</v>
      </c>
      <c r="AN65" s="203"/>
    </row>
    <row r="66" spans="1:44">
      <c r="A66" s="295" t="s">
        <v>732</v>
      </c>
      <c r="B66" t="s">
        <v>479</v>
      </c>
      <c r="C66" s="203" t="s">
        <v>482</v>
      </c>
      <c r="D66">
        <v>100</v>
      </c>
      <c r="E66">
        <v>8000</v>
      </c>
      <c r="F66">
        <v>0</v>
      </c>
      <c r="G66">
        <v>6464</v>
      </c>
      <c r="H66">
        <v>0.55000000000000004</v>
      </c>
      <c r="K66" s="203" t="s">
        <v>297</v>
      </c>
      <c r="L66" s="203" t="s">
        <v>442</v>
      </c>
      <c r="M66" s="31">
        <v>567</v>
      </c>
      <c r="N66" s="31"/>
      <c r="O66" s="31">
        <v>2013</v>
      </c>
      <c r="P66" s="208" t="s">
        <v>337</v>
      </c>
      <c r="Q66" s="208" t="s">
        <v>337</v>
      </c>
      <c r="R66" s="208" t="s">
        <v>180</v>
      </c>
      <c r="S66" s="208" t="s">
        <v>353</v>
      </c>
      <c r="T66" s="208" t="s">
        <v>179</v>
      </c>
      <c r="U66" s="208" t="s">
        <v>344</v>
      </c>
      <c r="V66" s="208" t="s">
        <v>713</v>
      </c>
      <c r="W66" s="208" t="s">
        <v>356</v>
      </c>
      <c r="X66" s="208"/>
      <c r="Y66" s="208"/>
      <c r="AA66" s="208">
        <v>1</v>
      </c>
      <c r="AB66" s="208">
        <v>1.2</v>
      </c>
      <c r="AC66" s="208">
        <v>2</v>
      </c>
      <c r="AD66" s="208">
        <v>2.5</v>
      </c>
      <c r="AE66" s="208">
        <v>2.7</v>
      </c>
      <c r="AF66" s="208">
        <v>3</v>
      </c>
      <c r="AG66" s="208">
        <v>6</v>
      </c>
      <c r="AH66" s="203"/>
      <c r="AI66" s="203"/>
      <c r="AK66" s="208">
        <v>2.4500000000000002</v>
      </c>
      <c r="AL66" s="215">
        <v>2.09</v>
      </c>
      <c r="AM66" s="214">
        <v>0.25</v>
      </c>
      <c r="AN66" s="203"/>
    </row>
    <row r="67" spans="1:44">
      <c r="A67" s="295" t="s">
        <v>732</v>
      </c>
      <c r="B67" t="s">
        <v>480</v>
      </c>
      <c r="C67" s="203" t="s">
        <v>482</v>
      </c>
      <c r="D67">
        <v>150</v>
      </c>
      <c r="E67">
        <v>8000</v>
      </c>
      <c r="F67">
        <v>8.0368999999999993</v>
      </c>
      <c r="G67">
        <v>0.69940000000000002</v>
      </c>
      <c r="H67">
        <v>-4.0000000000000003E-5</v>
      </c>
      <c r="I67" s="208">
        <v>0</v>
      </c>
      <c r="J67" s="208">
        <v>0</v>
      </c>
      <c r="K67" s="204" t="s">
        <v>557</v>
      </c>
      <c r="L67" s="203" t="s">
        <v>442</v>
      </c>
      <c r="M67" s="31">
        <v>567</v>
      </c>
      <c r="N67" s="31"/>
      <c r="O67" s="31">
        <v>2013</v>
      </c>
      <c r="P67" s="208" t="s">
        <v>337</v>
      </c>
      <c r="Q67" s="208" t="s">
        <v>337</v>
      </c>
      <c r="R67" s="208" t="s">
        <v>180</v>
      </c>
      <c r="S67" s="208" t="s">
        <v>353</v>
      </c>
      <c r="T67" s="208" t="s">
        <v>179</v>
      </c>
      <c r="U67" s="208" t="s">
        <v>344</v>
      </c>
      <c r="V67" s="208" t="s">
        <v>713</v>
      </c>
      <c r="W67" s="208" t="s">
        <v>356</v>
      </c>
      <c r="X67" s="208"/>
      <c r="Y67" s="208"/>
      <c r="AA67" s="208">
        <v>1</v>
      </c>
      <c r="AB67" s="208">
        <v>1.2</v>
      </c>
      <c r="AC67" s="208">
        <v>2</v>
      </c>
      <c r="AD67" s="208">
        <v>2.5</v>
      </c>
      <c r="AE67" s="208">
        <v>2.7</v>
      </c>
      <c r="AF67" s="208">
        <v>3</v>
      </c>
      <c r="AG67" s="208">
        <v>6</v>
      </c>
      <c r="AH67" s="203"/>
      <c r="AI67" s="203"/>
      <c r="AK67" s="208">
        <v>2.4500000000000002</v>
      </c>
      <c r="AL67" s="215">
        <v>2.09</v>
      </c>
      <c r="AM67" s="214">
        <v>0.25</v>
      </c>
      <c r="AN67" s="203"/>
    </row>
    <row r="68" spans="1:44">
      <c r="A68" s="295" t="s">
        <v>732</v>
      </c>
      <c r="B68" t="s">
        <v>481</v>
      </c>
      <c r="C68" s="203" t="s">
        <v>482</v>
      </c>
      <c r="D68">
        <v>150</v>
      </c>
      <c r="E68">
        <v>4000</v>
      </c>
      <c r="F68">
        <v>0</v>
      </c>
      <c r="G68">
        <v>13700</v>
      </c>
      <c r="H68">
        <v>0.68</v>
      </c>
      <c r="K68" s="203" t="s">
        <v>297</v>
      </c>
      <c r="L68" s="203" t="s">
        <v>442</v>
      </c>
      <c r="M68" s="31">
        <v>567</v>
      </c>
      <c r="N68" s="31"/>
      <c r="O68" s="31">
        <v>2013</v>
      </c>
      <c r="P68" s="208" t="s">
        <v>499</v>
      </c>
      <c r="Q68" s="208" t="s">
        <v>714</v>
      </c>
      <c r="R68" s="208"/>
      <c r="S68" s="208"/>
      <c r="T68" s="208"/>
      <c r="U68" s="208"/>
      <c r="V68" s="208"/>
      <c r="W68" s="208"/>
      <c r="X68" s="208"/>
      <c r="Y68" s="208"/>
      <c r="AA68" s="208">
        <v>1</v>
      </c>
      <c r="AB68" s="208"/>
      <c r="AC68" s="208"/>
      <c r="AD68" s="208"/>
      <c r="AE68" s="208"/>
      <c r="AF68" s="208"/>
      <c r="AG68" s="208"/>
      <c r="AH68" s="203"/>
      <c r="AI68" s="203"/>
      <c r="AK68" s="208">
        <v>2.4500000000000002</v>
      </c>
      <c r="AL68" s="203">
        <v>2.09</v>
      </c>
      <c r="AM68" s="214">
        <v>0.25</v>
      </c>
      <c r="AN68" s="203" t="s">
        <v>499</v>
      </c>
    </row>
    <row r="70" spans="1:44" s="29" customFormat="1">
      <c r="B70" s="29" t="s">
        <v>733</v>
      </c>
      <c r="I70" s="207"/>
      <c r="J70" s="207"/>
      <c r="R70" s="30"/>
      <c r="S70" s="30"/>
      <c r="T70" s="30"/>
      <c r="U70" s="30"/>
      <c r="V70" s="30"/>
      <c r="W70" s="30"/>
      <c r="X70" s="30"/>
      <c r="Y70" s="30"/>
      <c r="Z70" s="208"/>
      <c r="AA70" s="30"/>
      <c r="AB70" s="30"/>
      <c r="AC70" s="30"/>
      <c r="AD70" s="30"/>
      <c r="AE70" s="30"/>
      <c r="AF70" s="30"/>
      <c r="AG70" s="30"/>
      <c r="AH70" s="30"/>
      <c r="AI70" s="30"/>
      <c r="AJ70" s="208"/>
      <c r="AL70" s="30"/>
      <c r="AM70" s="30"/>
      <c r="AR70" s="217"/>
    </row>
    <row r="71" spans="1:44" s="29" customFormat="1">
      <c r="A71" s="295" t="s">
        <v>733</v>
      </c>
      <c r="B71" s="29" t="s">
        <v>253</v>
      </c>
      <c r="C71" s="29" t="s">
        <v>251</v>
      </c>
      <c r="D71" s="29">
        <v>11</v>
      </c>
      <c r="E71" s="29">
        <v>640</v>
      </c>
      <c r="F71" s="29">
        <v>330</v>
      </c>
      <c r="G71" s="29">
        <v>36000</v>
      </c>
      <c r="H71" s="29">
        <v>0.55000000000000004</v>
      </c>
      <c r="I71" s="207"/>
      <c r="J71" s="207"/>
      <c r="K71" s="29" t="s">
        <v>297</v>
      </c>
      <c r="L71" s="200" t="s">
        <v>443</v>
      </c>
      <c r="M71" s="29">
        <v>532.9</v>
      </c>
      <c r="N71" s="29">
        <v>2281.6</v>
      </c>
      <c r="O71" s="29">
        <v>2010</v>
      </c>
      <c r="Q71" s="31" t="s">
        <v>337</v>
      </c>
      <c r="R71" s="31" t="s">
        <v>338</v>
      </c>
      <c r="S71" s="31" t="s">
        <v>339</v>
      </c>
      <c r="T71" s="31" t="s">
        <v>340</v>
      </c>
      <c r="U71" s="31" t="s">
        <v>341</v>
      </c>
      <c r="V71" s="31" t="s">
        <v>342</v>
      </c>
      <c r="W71" s="31" t="s">
        <v>343</v>
      </c>
      <c r="X71" s="31" t="s">
        <v>344</v>
      </c>
      <c r="Y71" s="31" t="s">
        <v>345</v>
      </c>
      <c r="Z71" s="31"/>
      <c r="AA71" s="31">
        <v>1</v>
      </c>
      <c r="AB71" s="31">
        <v>1.07</v>
      </c>
      <c r="AC71" s="31">
        <v>1.1000000000000001</v>
      </c>
      <c r="AD71" s="31">
        <v>1.3</v>
      </c>
      <c r="AE71" s="31">
        <v>1.3</v>
      </c>
      <c r="AF71" s="31">
        <v>1.5</v>
      </c>
      <c r="AG71" s="31">
        <v>1.55</v>
      </c>
      <c r="AH71" s="31">
        <v>1.65</v>
      </c>
      <c r="AI71" s="31">
        <v>1.7</v>
      </c>
      <c r="AJ71" s="31"/>
      <c r="AK71" s="31">
        <v>2.4500000000000002</v>
      </c>
      <c r="AL71" s="215">
        <v>2.09</v>
      </c>
      <c r="AM71" s="214">
        <v>0.25</v>
      </c>
      <c r="AR71" s="217"/>
    </row>
    <row r="72" spans="1:44" s="29" customFormat="1">
      <c r="A72" s="295" t="s">
        <v>733</v>
      </c>
      <c r="B72" s="29" t="s">
        <v>254</v>
      </c>
      <c r="C72" s="29" t="s">
        <v>251</v>
      </c>
      <c r="D72" s="29">
        <v>0.5</v>
      </c>
      <c r="E72" s="29">
        <v>12</v>
      </c>
      <c r="F72" s="29">
        <v>88000</v>
      </c>
      <c r="G72" s="29">
        <v>65500</v>
      </c>
      <c r="H72" s="29">
        <v>0.75</v>
      </c>
      <c r="I72" s="207"/>
      <c r="J72" s="207"/>
      <c r="K72" s="29" t="s">
        <v>297</v>
      </c>
      <c r="L72" s="200" t="s">
        <v>443</v>
      </c>
      <c r="M72" s="29">
        <v>532.9</v>
      </c>
      <c r="N72" s="29">
        <v>2281.6</v>
      </c>
      <c r="O72" s="29">
        <v>2010</v>
      </c>
      <c r="P72" s="29" t="s">
        <v>255</v>
      </c>
      <c r="Q72" s="31" t="s">
        <v>337</v>
      </c>
      <c r="R72" s="31" t="s">
        <v>338</v>
      </c>
      <c r="S72" s="31" t="s">
        <v>339</v>
      </c>
      <c r="T72" s="31" t="s">
        <v>340</v>
      </c>
      <c r="U72" s="31" t="s">
        <v>341</v>
      </c>
      <c r="V72" s="31" t="s">
        <v>342</v>
      </c>
      <c r="W72" s="31" t="s">
        <v>343</v>
      </c>
      <c r="X72" s="31" t="s">
        <v>344</v>
      </c>
      <c r="Y72" s="31" t="s">
        <v>345</v>
      </c>
      <c r="Z72" s="31"/>
      <c r="AA72" s="30">
        <v>0.76923076923076916</v>
      </c>
      <c r="AB72" s="30">
        <v>0.82307692307692315</v>
      </c>
      <c r="AC72" s="30">
        <v>0.84615384615384615</v>
      </c>
      <c r="AD72" s="30">
        <v>1</v>
      </c>
      <c r="AE72" s="30">
        <v>1</v>
      </c>
      <c r="AF72" s="30">
        <v>1.1538461538461537</v>
      </c>
      <c r="AG72" s="30">
        <v>1.1923076923076923</v>
      </c>
      <c r="AH72" s="30">
        <v>1.2692307692307692</v>
      </c>
      <c r="AI72" s="30">
        <v>1.3076923076923077</v>
      </c>
      <c r="AJ72" s="208"/>
      <c r="AK72" s="31">
        <v>2.4500000000000002</v>
      </c>
      <c r="AL72" s="215">
        <v>2.09</v>
      </c>
      <c r="AM72" s="214">
        <v>0.25</v>
      </c>
      <c r="AR72" s="217"/>
    </row>
    <row r="73" spans="1:44" s="29" customFormat="1">
      <c r="A73" s="295" t="s">
        <v>733</v>
      </c>
      <c r="B73" s="29" t="s">
        <v>303</v>
      </c>
      <c r="C73" s="29" t="s">
        <v>305</v>
      </c>
      <c r="D73" s="29">
        <v>30</v>
      </c>
      <c r="E73" s="29">
        <v>300</v>
      </c>
      <c r="F73" s="29">
        <v>0</v>
      </c>
      <c r="G73" s="29">
        <v>13719.930074035568</v>
      </c>
      <c r="H73" s="29">
        <v>0.38021124171160631</v>
      </c>
      <c r="I73" s="207"/>
      <c r="J73" s="207"/>
      <c r="K73" s="29" t="s">
        <v>297</v>
      </c>
      <c r="L73" s="29" t="s">
        <v>468</v>
      </c>
      <c r="M73" s="29">
        <v>400</v>
      </c>
      <c r="O73" s="29">
        <v>2004</v>
      </c>
      <c r="Q73" s="31" t="s">
        <v>337</v>
      </c>
      <c r="R73" s="31" t="s">
        <v>354</v>
      </c>
      <c r="S73" s="31" t="s">
        <v>353</v>
      </c>
      <c r="T73" s="31" t="s">
        <v>355</v>
      </c>
      <c r="U73" s="31" t="s">
        <v>356</v>
      </c>
      <c r="V73" s="30"/>
      <c r="W73" s="30"/>
      <c r="X73" s="30"/>
      <c r="Y73" s="30"/>
      <c r="Z73" s="208"/>
      <c r="AA73" s="30">
        <v>1</v>
      </c>
      <c r="AB73" s="30">
        <f>5.6/2.9</f>
        <v>1.9310344827586206</v>
      </c>
      <c r="AC73" s="30">
        <f>9.3/2.9</f>
        <v>3.2068965517241383</v>
      </c>
      <c r="AD73" s="30">
        <f>11/2.9</f>
        <v>3.7931034482758621</v>
      </c>
      <c r="AE73" s="30">
        <f>26/2.9</f>
        <v>8.9655172413793114</v>
      </c>
      <c r="AF73" s="30"/>
      <c r="AG73" s="30"/>
      <c r="AH73" s="30"/>
      <c r="AI73" s="30"/>
      <c r="AJ73" s="208"/>
      <c r="AK73" s="29">
        <v>2.9</v>
      </c>
      <c r="AL73" s="215">
        <v>2.09</v>
      </c>
      <c r="AM73" s="214">
        <v>0.25</v>
      </c>
      <c r="AR73" s="217"/>
    </row>
    <row r="74" spans="1:44" s="29" customFormat="1">
      <c r="I74" s="207"/>
      <c r="J74" s="207"/>
      <c r="R74" s="30"/>
      <c r="S74" s="30"/>
      <c r="T74" s="30"/>
      <c r="U74" s="30"/>
      <c r="V74" s="30"/>
      <c r="W74" s="30"/>
      <c r="X74" s="30"/>
      <c r="Y74" s="30"/>
      <c r="Z74" s="208"/>
      <c r="AA74" s="30"/>
      <c r="AB74" s="30"/>
      <c r="AC74" s="30"/>
      <c r="AD74" s="30"/>
      <c r="AE74" s="30"/>
      <c r="AF74" s="30"/>
      <c r="AG74" s="30"/>
      <c r="AH74" s="30"/>
      <c r="AI74" s="30"/>
      <c r="AJ74" s="208"/>
      <c r="AL74" s="30"/>
      <c r="AM74" s="30"/>
      <c r="AR74" s="217"/>
    </row>
    <row r="75" spans="1:44">
      <c r="B75" t="s">
        <v>570</v>
      </c>
      <c r="Q75" s="208"/>
      <c r="R75" s="208"/>
      <c r="S75" s="208"/>
      <c r="T75" s="208"/>
      <c r="U75" s="208"/>
      <c r="V75" s="208"/>
      <c r="W75" s="208"/>
      <c r="X75" s="208"/>
      <c r="Y75" s="208"/>
      <c r="AA75" s="208"/>
      <c r="AB75" s="208"/>
      <c r="AC75" s="208"/>
      <c r="AD75" s="208"/>
      <c r="AE75" s="208"/>
      <c r="AF75" s="208"/>
      <c r="AG75" s="208"/>
    </row>
    <row r="76" spans="1:44">
      <c r="A76" t="s">
        <v>570</v>
      </c>
      <c r="B76" t="s">
        <v>571</v>
      </c>
      <c r="C76" t="s">
        <v>573</v>
      </c>
      <c r="D76">
        <v>150</v>
      </c>
      <c r="E76">
        <v>12000</v>
      </c>
      <c r="F76">
        <v>11.0991</v>
      </c>
      <c r="G76">
        <v>-0.35799999999999998</v>
      </c>
      <c r="H76">
        <v>5.8529999999999999E-2</v>
      </c>
      <c r="I76" s="207">
        <v>0</v>
      </c>
      <c r="J76" s="207">
        <v>0</v>
      </c>
      <c r="K76" s="204" t="s">
        <v>557</v>
      </c>
      <c r="L76" s="204" t="s">
        <v>442</v>
      </c>
      <c r="M76" s="208">
        <v>567</v>
      </c>
      <c r="N76" s="208"/>
      <c r="O76" s="208">
        <v>2013</v>
      </c>
      <c r="P76" s="208" t="s">
        <v>353</v>
      </c>
      <c r="Q76" s="208" t="s">
        <v>337</v>
      </c>
      <c r="R76" s="208" t="s">
        <v>180</v>
      </c>
      <c r="S76" s="208" t="s">
        <v>353</v>
      </c>
      <c r="T76" s="208" t="s">
        <v>179</v>
      </c>
      <c r="U76" s="208" t="s">
        <v>344</v>
      </c>
      <c r="V76" s="208" t="s">
        <v>713</v>
      </c>
      <c r="W76" s="208" t="s">
        <v>356</v>
      </c>
      <c r="X76" s="208"/>
      <c r="Y76" s="208"/>
      <c r="AA76" s="208">
        <v>0.5</v>
      </c>
      <c r="AB76" s="208">
        <v>0.6</v>
      </c>
      <c r="AC76" s="208">
        <v>1</v>
      </c>
      <c r="AD76" s="208">
        <v>1.25</v>
      </c>
      <c r="AE76" s="208">
        <v>1.35</v>
      </c>
      <c r="AF76" s="208">
        <v>1.5</v>
      </c>
      <c r="AG76" s="208">
        <v>3</v>
      </c>
      <c r="AH76" s="204"/>
      <c r="AI76" s="204"/>
      <c r="AK76" s="204" t="s">
        <v>162</v>
      </c>
      <c r="AL76" s="204">
        <v>2.0499999999999998</v>
      </c>
      <c r="AM76" s="204">
        <v>0.1</v>
      </c>
      <c r="AN76" s="204" t="s">
        <v>353</v>
      </c>
    </row>
    <row r="77" spans="1:44">
      <c r="A77" s="204" t="s">
        <v>570</v>
      </c>
      <c r="B77" t="s">
        <v>572</v>
      </c>
      <c r="C77" s="204" t="s">
        <v>573</v>
      </c>
      <c r="D77" s="204">
        <v>150</v>
      </c>
      <c r="E77" s="204">
        <v>12000</v>
      </c>
      <c r="F77">
        <v>10.980700000000001</v>
      </c>
      <c r="G77">
        <v>-0.44669999999999999</v>
      </c>
      <c r="H77">
        <v>6.1359999999999998E-2</v>
      </c>
      <c r="I77" s="207">
        <v>0</v>
      </c>
      <c r="J77" s="207">
        <v>0</v>
      </c>
      <c r="K77" s="204" t="s">
        <v>557</v>
      </c>
      <c r="L77" s="204" t="s">
        <v>442</v>
      </c>
      <c r="M77" s="208">
        <v>567</v>
      </c>
      <c r="N77" s="208"/>
      <c r="O77" s="208">
        <v>2013</v>
      </c>
      <c r="P77" s="208" t="s">
        <v>353</v>
      </c>
      <c r="Q77" s="208" t="s">
        <v>337</v>
      </c>
      <c r="R77" s="208" t="s">
        <v>180</v>
      </c>
      <c r="S77" s="208" t="s">
        <v>353</v>
      </c>
      <c r="T77" s="208" t="s">
        <v>179</v>
      </c>
      <c r="U77" s="208" t="s">
        <v>344</v>
      </c>
      <c r="V77" s="208" t="s">
        <v>713</v>
      </c>
      <c r="W77" s="208" t="s">
        <v>356</v>
      </c>
      <c r="X77" s="208"/>
      <c r="Y77" s="208"/>
      <c r="AA77" s="208">
        <v>0.5</v>
      </c>
      <c r="AB77" s="208">
        <v>0.6</v>
      </c>
      <c r="AC77" s="208">
        <v>1</v>
      </c>
      <c r="AD77" s="208">
        <v>1.25</v>
      </c>
      <c r="AE77" s="208">
        <v>1.35</v>
      </c>
      <c r="AF77" s="208">
        <v>1.5</v>
      </c>
      <c r="AG77" s="208">
        <v>3</v>
      </c>
      <c r="AH77" s="204"/>
      <c r="AI77" s="204"/>
      <c r="AK77" s="204" t="s">
        <v>162</v>
      </c>
      <c r="AL77" s="204">
        <v>2.0499999999999998</v>
      </c>
      <c r="AM77" s="204">
        <v>0.1</v>
      </c>
      <c r="AN77" s="204" t="s">
        <v>353</v>
      </c>
    </row>
    <row r="78" spans="1:44">
      <c r="M78" s="208"/>
      <c r="N78" s="208"/>
      <c r="O78" s="208"/>
    </row>
    <row r="79" spans="1:44" s="213" customFormat="1">
      <c r="B79" s="213" t="s">
        <v>780</v>
      </c>
      <c r="AR79" s="217"/>
    </row>
    <row r="80" spans="1:44" s="213" customFormat="1">
      <c r="A80" s="213" t="s">
        <v>780</v>
      </c>
      <c r="B80" s="213" t="s">
        <v>781</v>
      </c>
      <c r="C80" s="213" t="s">
        <v>782</v>
      </c>
      <c r="D80" s="213">
        <v>2500</v>
      </c>
      <c r="E80" s="213">
        <v>200000</v>
      </c>
      <c r="F80" s="213">
        <v>0</v>
      </c>
      <c r="G80" s="213">
        <v>461.44607553020921</v>
      </c>
      <c r="H80" s="213">
        <v>0.39314379883254991</v>
      </c>
      <c r="K80" s="213" t="s">
        <v>297</v>
      </c>
      <c r="L80" s="213" t="s">
        <v>784</v>
      </c>
      <c r="M80" s="213">
        <v>320</v>
      </c>
      <c r="O80" s="213">
        <v>1987</v>
      </c>
      <c r="Q80" s="213" t="s">
        <v>785</v>
      </c>
      <c r="R80" s="213" t="s">
        <v>786</v>
      </c>
      <c r="S80" s="213" t="s">
        <v>787</v>
      </c>
      <c r="T80" s="213" t="s">
        <v>788</v>
      </c>
      <c r="AA80" s="213">
        <v>1</v>
      </c>
      <c r="AB80" s="213">
        <v>0.3</v>
      </c>
      <c r="AC80" s="213">
        <v>0.3</v>
      </c>
      <c r="AD80" s="213">
        <v>2</v>
      </c>
      <c r="AK80" s="213" t="s">
        <v>162</v>
      </c>
      <c r="AL80" s="213">
        <v>1.45</v>
      </c>
      <c r="AM80" s="27">
        <v>0.1</v>
      </c>
      <c r="AN80" s="213" t="s">
        <v>789</v>
      </c>
      <c r="AR80" s="217"/>
    </row>
    <row r="81" spans="1:44" s="213" customFormat="1">
      <c r="A81" s="213" t="s">
        <v>780</v>
      </c>
      <c r="B81" s="213" t="s">
        <v>783</v>
      </c>
      <c r="C81" s="213" t="s">
        <v>782</v>
      </c>
      <c r="D81" s="213">
        <v>2500</v>
      </c>
      <c r="E81" s="213">
        <v>210000</v>
      </c>
      <c r="F81" s="213">
        <v>0</v>
      </c>
      <c r="G81" s="213">
        <v>314.76015038946599</v>
      </c>
      <c r="H81" s="213">
        <v>0.59463504081334784</v>
      </c>
      <c r="K81" s="213" t="s">
        <v>297</v>
      </c>
      <c r="L81" s="213" t="s">
        <v>784</v>
      </c>
      <c r="M81" s="213">
        <v>320</v>
      </c>
      <c r="O81" s="213">
        <v>1987</v>
      </c>
      <c r="Q81" s="213" t="s">
        <v>785</v>
      </c>
      <c r="R81" s="213" t="s">
        <v>786</v>
      </c>
      <c r="S81" s="213" t="s">
        <v>787</v>
      </c>
      <c r="T81" s="213" t="s">
        <v>788</v>
      </c>
      <c r="AA81" s="213">
        <v>1</v>
      </c>
      <c r="AB81" s="213">
        <v>0.8</v>
      </c>
      <c r="AC81" s="213">
        <v>0.8</v>
      </c>
      <c r="AD81" s="213">
        <v>2</v>
      </c>
      <c r="AK81" s="213" t="s">
        <v>162</v>
      </c>
      <c r="AL81" s="213">
        <v>1.45</v>
      </c>
      <c r="AM81" s="27">
        <v>0.1</v>
      </c>
      <c r="AN81" s="213" t="s">
        <v>789</v>
      </c>
      <c r="AR81" s="217"/>
    </row>
    <row r="82" spans="1:44" s="213" customFormat="1">
      <c r="AR82" s="217"/>
    </row>
    <row r="83" spans="1:44">
      <c r="B83" t="s">
        <v>797</v>
      </c>
    </row>
    <row r="84" spans="1:44">
      <c r="A84" s="295" t="s">
        <v>797</v>
      </c>
      <c r="B84" s="208" t="s">
        <v>681</v>
      </c>
      <c r="C84" t="s">
        <v>682</v>
      </c>
      <c r="D84" s="205">
        <v>10000000</v>
      </c>
      <c r="E84" s="205">
        <v>500000000</v>
      </c>
      <c r="F84">
        <v>-0.15240999999999999</v>
      </c>
      <c r="G84">
        <v>0.78500000000000003</v>
      </c>
      <c r="H84">
        <v>0</v>
      </c>
      <c r="I84" s="207">
        <v>0</v>
      </c>
      <c r="J84" s="207">
        <v>0</v>
      </c>
      <c r="K84" s="208" t="s">
        <v>557</v>
      </c>
      <c r="L84" s="208" t="s">
        <v>442</v>
      </c>
      <c r="M84" s="208">
        <v>567</v>
      </c>
      <c r="N84" s="208"/>
      <c r="O84" s="208">
        <v>2013</v>
      </c>
      <c r="Q84" s="29" t="s">
        <v>685</v>
      </c>
      <c r="R84" s="30" t="s">
        <v>686</v>
      </c>
      <c r="S84" s="30" t="s">
        <v>687</v>
      </c>
      <c r="AA84" s="30">
        <v>1</v>
      </c>
      <c r="AB84" s="30">
        <v>1.4</v>
      </c>
      <c r="AC84" s="30">
        <v>1.7</v>
      </c>
      <c r="AK84" s="208">
        <v>2.19</v>
      </c>
      <c r="AL84" s="30">
        <v>1.52</v>
      </c>
      <c r="AM84" s="30">
        <v>0.3</v>
      </c>
      <c r="AN84" t="s">
        <v>683</v>
      </c>
    </row>
    <row r="85" spans="1:44">
      <c r="A85" s="295" t="s">
        <v>797</v>
      </c>
      <c r="B85" t="s">
        <v>483</v>
      </c>
      <c r="C85" t="s">
        <v>488</v>
      </c>
      <c r="D85" s="205">
        <v>10000000</v>
      </c>
      <c r="E85" s="205">
        <v>50000000</v>
      </c>
      <c r="F85">
        <v>0</v>
      </c>
      <c r="G85">
        <v>0.97399999999999998</v>
      </c>
      <c r="H85">
        <v>0.81</v>
      </c>
      <c r="K85" s="203" t="s">
        <v>297</v>
      </c>
      <c r="L85" s="203" t="s">
        <v>442</v>
      </c>
      <c r="M85" s="31">
        <v>567</v>
      </c>
      <c r="N85" s="31"/>
      <c r="O85" s="31">
        <v>2013</v>
      </c>
      <c r="P85" s="203"/>
      <c r="Q85" s="208" t="s">
        <v>337</v>
      </c>
      <c r="R85" s="208" t="s">
        <v>180</v>
      </c>
      <c r="S85" s="208" t="s">
        <v>353</v>
      </c>
      <c r="T85" s="208" t="s">
        <v>179</v>
      </c>
      <c r="U85" s="208" t="s">
        <v>344</v>
      </c>
      <c r="V85" s="208" t="s">
        <v>713</v>
      </c>
      <c r="W85" s="208" t="s">
        <v>356</v>
      </c>
      <c r="X85" s="208"/>
      <c r="Y85" s="208"/>
      <c r="AA85" s="208">
        <v>1</v>
      </c>
      <c r="AB85" s="208">
        <v>1.2</v>
      </c>
      <c r="AC85" s="208">
        <v>2</v>
      </c>
      <c r="AD85" s="208">
        <v>2.5</v>
      </c>
      <c r="AE85" s="208">
        <v>2.7</v>
      </c>
      <c r="AF85" s="208">
        <v>3</v>
      </c>
      <c r="AG85" s="208">
        <v>6</v>
      </c>
      <c r="AH85" s="203"/>
      <c r="AI85" s="203"/>
      <c r="AK85" s="208">
        <v>2.19</v>
      </c>
      <c r="AL85" s="215">
        <v>1.52</v>
      </c>
      <c r="AM85" s="203">
        <v>0.3</v>
      </c>
      <c r="AN85" s="203" t="s">
        <v>489</v>
      </c>
    </row>
    <row r="86" spans="1:44">
      <c r="A86" s="295" t="s">
        <v>797</v>
      </c>
      <c r="B86" t="s">
        <v>484</v>
      </c>
      <c r="C86" s="203" t="s">
        <v>488</v>
      </c>
      <c r="D86" s="205">
        <v>10000000</v>
      </c>
      <c r="E86" s="205">
        <v>500000000</v>
      </c>
      <c r="F86">
        <v>0</v>
      </c>
      <c r="G86">
        <v>0.73699999999999999</v>
      </c>
      <c r="H86">
        <v>0.81</v>
      </c>
      <c r="K86" s="203" t="s">
        <v>297</v>
      </c>
      <c r="L86" s="203" t="s">
        <v>442</v>
      </c>
      <c r="M86" s="31">
        <v>567</v>
      </c>
      <c r="N86" s="31"/>
      <c r="O86" s="31">
        <v>2013</v>
      </c>
      <c r="P86" s="203"/>
      <c r="Q86" s="208" t="s">
        <v>337</v>
      </c>
      <c r="R86" s="208" t="s">
        <v>180</v>
      </c>
      <c r="S86" s="208" t="s">
        <v>353</v>
      </c>
      <c r="T86" s="208" t="s">
        <v>179</v>
      </c>
      <c r="U86" s="208" t="s">
        <v>344</v>
      </c>
      <c r="V86" s="208" t="s">
        <v>713</v>
      </c>
      <c r="W86" s="208" t="s">
        <v>356</v>
      </c>
      <c r="X86" s="208"/>
      <c r="Y86" s="208"/>
      <c r="AA86" s="208">
        <v>1</v>
      </c>
      <c r="AB86" s="208">
        <v>1.2</v>
      </c>
      <c r="AC86" s="208">
        <v>2</v>
      </c>
      <c r="AD86" s="208">
        <v>2.5</v>
      </c>
      <c r="AE86" s="208">
        <v>2.7</v>
      </c>
      <c r="AF86" s="208">
        <v>3</v>
      </c>
      <c r="AG86" s="208">
        <v>6</v>
      </c>
      <c r="AH86" s="203"/>
      <c r="AI86" s="203"/>
      <c r="AK86" s="208">
        <v>2.19</v>
      </c>
      <c r="AL86" s="215">
        <v>1.52</v>
      </c>
      <c r="AM86" s="214">
        <v>0.3</v>
      </c>
      <c r="AN86" s="203" t="s">
        <v>489</v>
      </c>
    </row>
    <row r="87" spans="1:44">
      <c r="A87" s="295" t="s">
        <v>797</v>
      </c>
      <c r="B87" t="s">
        <v>485</v>
      </c>
      <c r="C87" s="203" t="s">
        <v>488</v>
      </c>
      <c r="D87" s="205">
        <v>500000</v>
      </c>
      <c r="E87" s="205">
        <v>70000000</v>
      </c>
      <c r="F87">
        <v>9.7187999999999999</v>
      </c>
      <c r="G87">
        <v>-0.37690000000000001</v>
      </c>
      <c r="H87">
        <v>3.4340000000000002E-2</v>
      </c>
      <c r="I87" s="208">
        <v>0</v>
      </c>
      <c r="J87" s="208">
        <v>0</v>
      </c>
      <c r="K87" s="204" t="s">
        <v>557</v>
      </c>
      <c r="L87" s="203" t="s">
        <v>442</v>
      </c>
      <c r="M87" s="31">
        <v>567</v>
      </c>
      <c r="N87" s="31"/>
      <c r="O87" s="31">
        <v>2013</v>
      </c>
      <c r="Q87" s="208" t="s">
        <v>337</v>
      </c>
      <c r="R87" s="208" t="s">
        <v>180</v>
      </c>
      <c r="S87" s="208" t="s">
        <v>353</v>
      </c>
      <c r="T87" s="208" t="s">
        <v>179</v>
      </c>
      <c r="U87" s="208" t="s">
        <v>344</v>
      </c>
      <c r="V87" s="208" t="s">
        <v>713</v>
      </c>
      <c r="W87" s="208" t="s">
        <v>356</v>
      </c>
      <c r="X87" s="208"/>
      <c r="Y87" s="208"/>
      <c r="AA87" s="208">
        <v>1</v>
      </c>
      <c r="AB87" s="208">
        <v>1.2</v>
      </c>
      <c r="AC87" s="208">
        <v>2</v>
      </c>
      <c r="AD87" s="208">
        <v>2.5</v>
      </c>
      <c r="AE87" s="208">
        <v>2.7</v>
      </c>
      <c r="AF87" s="208">
        <v>3</v>
      </c>
      <c r="AG87" s="208">
        <v>6</v>
      </c>
      <c r="AK87" s="208">
        <v>2.19</v>
      </c>
      <c r="AL87" s="215">
        <v>1.52</v>
      </c>
      <c r="AM87" s="214">
        <v>0.3</v>
      </c>
    </row>
    <row r="88" spans="1:44">
      <c r="A88" s="295" t="s">
        <v>797</v>
      </c>
      <c r="B88" t="s">
        <v>486</v>
      </c>
      <c r="C88" s="203" t="s">
        <v>488</v>
      </c>
      <c r="D88" s="205">
        <v>500000</v>
      </c>
      <c r="E88" s="205">
        <v>70000000</v>
      </c>
      <c r="F88">
        <v>0</v>
      </c>
      <c r="G88">
        <v>13.97</v>
      </c>
      <c r="H88">
        <v>0.64</v>
      </c>
      <c r="K88" s="203" t="s">
        <v>297</v>
      </c>
      <c r="L88" s="203" t="s">
        <v>442</v>
      </c>
      <c r="M88" s="31">
        <v>567</v>
      </c>
      <c r="N88" s="31"/>
      <c r="O88" s="31">
        <v>2013</v>
      </c>
      <c r="Q88" s="208" t="s">
        <v>337</v>
      </c>
      <c r="R88" s="208" t="s">
        <v>180</v>
      </c>
      <c r="S88" s="208" t="s">
        <v>353</v>
      </c>
      <c r="T88" s="208" t="s">
        <v>179</v>
      </c>
      <c r="U88" s="208" t="s">
        <v>344</v>
      </c>
      <c r="V88" s="208" t="s">
        <v>713</v>
      </c>
      <c r="W88" s="208" t="s">
        <v>356</v>
      </c>
      <c r="X88" s="208"/>
      <c r="Y88" s="208"/>
      <c r="AA88" s="208">
        <v>1</v>
      </c>
      <c r="AB88" s="208">
        <v>1.2</v>
      </c>
      <c r="AC88" s="208">
        <v>2</v>
      </c>
      <c r="AD88" s="208">
        <v>2.5</v>
      </c>
      <c r="AE88" s="208">
        <v>2.7</v>
      </c>
      <c r="AF88" s="208">
        <v>3</v>
      </c>
      <c r="AG88" s="208">
        <v>6</v>
      </c>
      <c r="AK88" s="208">
        <v>2.19</v>
      </c>
      <c r="AL88" s="215">
        <v>1.52</v>
      </c>
      <c r="AM88" s="214">
        <v>0.3</v>
      </c>
    </row>
    <row r="89" spans="1:44">
      <c r="A89" s="295" t="s">
        <v>797</v>
      </c>
      <c r="B89" t="s">
        <v>487</v>
      </c>
      <c r="C89" s="203" t="s">
        <v>488</v>
      </c>
      <c r="D89" s="205">
        <v>500000</v>
      </c>
      <c r="E89" s="205">
        <v>70000000</v>
      </c>
      <c r="F89">
        <v>0</v>
      </c>
      <c r="G89">
        <v>14.45</v>
      </c>
      <c r="H89">
        <v>0.65</v>
      </c>
      <c r="K89" s="203" t="s">
        <v>297</v>
      </c>
      <c r="L89" s="203" t="s">
        <v>442</v>
      </c>
      <c r="M89" s="31">
        <v>567</v>
      </c>
      <c r="N89" s="31"/>
      <c r="O89" s="31">
        <v>2013</v>
      </c>
      <c r="Q89" s="208" t="s">
        <v>337</v>
      </c>
      <c r="R89" s="208" t="s">
        <v>180</v>
      </c>
      <c r="S89" s="208" t="s">
        <v>353</v>
      </c>
      <c r="T89" s="208" t="s">
        <v>179</v>
      </c>
      <c r="U89" s="208" t="s">
        <v>344</v>
      </c>
      <c r="V89" s="208" t="s">
        <v>713</v>
      </c>
      <c r="W89" s="208" t="s">
        <v>356</v>
      </c>
      <c r="X89" s="208"/>
      <c r="Y89" s="208"/>
      <c r="AA89" s="208">
        <v>1</v>
      </c>
      <c r="AB89" s="208">
        <v>1.2</v>
      </c>
      <c r="AC89" s="208">
        <v>2</v>
      </c>
      <c r="AD89" s="208">
        <v>2.5</v>
      </c>
      <c r="AE89" s="208">
        <v>2.7</v>
      </c>
      <c r="AF89" s="208">
        <v>3</v>
      </c>
      <c r="AG89" s="208">
        <v>6</v>
      </c>
      <c r="AK89" s="208">
        <v>2.19</v>
      </c>
      <c r="AL89" s="215">
        <v>1.52</v>
      </c>
      <c r="AM89" s="214">
        <v>0.3</v>
      </c>
    </row>
    <row r="90" spans="1:44" s="209" customFormat="1">
      <c r="D90" s="205"/>
      <c r="E90" s="205"/>
      <c r="M90" s="31"/>
      <c r="N90" s="31"/>
      <c r="O90" s="31"/>
      <c r="AR90" s="217"/>
    </row>
    <row r="91" spans="1:44" s="29" customFormat="1">
      <c r="B91" s="29" t="s">
        <v>734</v>
      </c>
      <c r="I91" s="207"/>
      <c r="J91" s="207"/>
      <c r="R91" s="30"/>
      <c r="S91" s="30"/>
      <c r="T91" s="30"/>
      <c r="U91" s="30"/>
      <c r="V91" s="30"/>
      <c r="W91" s="30"/>
      <c r="X91" s="30"/>
      <c r="Y91" s="30"/>
      <c r="Z91" s="208"/>
      <c r="AA91" s="30"/>
      <c r="AB91" s="30"/>
      <c r="AC91" s="30"/>
      <c r="AD91" s="30"/>
      <c r="AE91" s="30"/>
      <c r="AF91" s="30"/>
      <c r="AG91" s="30"/>
      <c r="AH91" s="30"/>
      <c r="AI91" s="30"/>
      <c r="AJ91" s="208"/>
      <c r="AL91" s="30"/>
      <c r="AM91" s="30"/>
      <c r="AR91" s="217"/>
    </row>
    <row r="92" spans="1:44" s="29" customFormat="1">
      <c r="A92" s="295" t="s">
        <v>734</v>
      </c>
      <c r="B92" s="29" t="s">
        <v>257</v>
      </c>
      <c r="C92" s="29" t="s">
        <v>258</v>
      </c>
      <c r="D92" s="29">
        <v>0.2</v>
      </c>
      <c r="E92" s="29">
        <v>60</v>
      </c>
      <c r="F92" s="29">
        <v>80000</v>
      </c>
      <c r="G92" s="29">
        <v>109000</v>
      </c>
      <c r="H92" s="29">
        <v>0.8</v>
      </c>
      <c r="I92" s="207"/>
      <c r="J92" s="207"/>
      <c r="K92" s="29" t="s">
        <v>297</v>
      </c>
      <c r="L92" s="200" t="s">
        <v>443</v>
      </c>
      <c r="M92" s="29">
        <v>532.9</v>
      </c>
      <c r="N92" s="29">
        <v>2281.6</v>
      </c>
      <c r="O92" s="29">
        <v>2010</v>
      </c>
      <c r="Q92" s="31" t="s">
        <v>337</v>
      </c>
      <c r="R92" s="31" t="s">
        <v>338</v>
      </c>
      <c r="S92" s="31" t="s">
        <v>339</v>
      </c>
      <c r="T92" s="31" t="s">
        <v>340</v>
      </c>
      <c r="U92" s="31" t="s">
        <v>341</v>
      </c>
      <c r="V92" s="31" t="s">
        <v>342</v>
      </c>
      <c r="W92" s="31" t="s">
        <v>343</v>
      </c>
      <c r="X92" s="31" t="s">
        <v>344</v>
      </c>
      <c r="Y92" s="31" t="s">
        <v>345</v>
      </c>
      <c r="Z92" s="31"/>
      <c r="AA92" s="31">
        <v>1</v>
      </c>
      <c r="AB92" s="31">
        <v>1.07</v>
      </c>
      <c r="AC92" s="31">
        <v>1.1000000000000001</v>
      </c>
      <c r="AD92" s="31">
        <v>1.3</v>
      </c>
      <c r="AE92" s="31">
        <v>1.3</v>
      </c>
      <c r="AF92" s="31">
        <v>1.5</v>
      </c>
      <c r="AG92" s="31">
        <v>1.55</v>
      </c>
      <c r="AH92" s="31">
        <v>1.65</v>
      </c>
      <c r="AI92" s="31">
        <v>1.7</v>
      </c>
      <c r="AJ92" s="31"/>
      <c r="AK92" s="31">
        <v>2</v>
      </c>
      <c r="AL92" s="215">
        <v>1.52</v>
      </c>
      <c r="AM92" s="31">
        <v>0.3</v>
      </c>
      <c r="AR92" s="217"/>
    </row>
    <row r="93" spans="1:44" s="29" customFormat="1">
      <c r="A93" s="295" t="s">
        <v>734</v>
      </c>
      <c r="B93" s="29" t="s">
        <v>259</v>
      </c>
      <c r="C93" s="29" t="s">
        <v>258</v>
      </c>
      <c r="D93" s="29">
        <v>30</v>
      </c>
      <c r="E93" s="29">
        <v>120</v>
      </c>
      <c r="F93" s="29">
        <v>43000</v>
      </c>
      <c r="G93" s="29">
        <v>111000</v>
      </c>
      <c r="H93" s="29">
        <v>0.8</v>
      </c>
      <c r="I93" s="207"/>
      <c r="J93" s="207"/>
      <c r="K93" s="29" t="s">
        <v>297</v>
      </c>
      <c r="L93" s="200" t="s">
        <v>443</v>
      </c>
      <c r="M93" s="29">
        <v>532.9</v>
      </c>
      <c r="N93" s="29">
        <v>2281.6</v>
      </c>
      <c r="O93" s="29">
        <v>2010</v>
      </c>
      <c r="Q93" s="31" t="s">
        <v>337</v>
      </c>
      <c r="R93" s="31" t="s">
        <v>338</v>
      </c>
      <c r="S93" s="31" t="s">
        <v>339</v>
      </c>
      <c r="T93" s="31" t="s">
        <v>340</v>
      </c>
      <c r="U93" s="31" t="s">
        <v>341</v>
      </c>
      <c r="V93" s="31" t="s">
        <v>342</v>
      </c>
      <c r="W93" s="31" t="s">
        <v>343</v>
      </c>
      <c r="X93" s="31" t="s">
        <v>344</v>
      </c>
      <c r="Y93" s="31" t="s">
        <v>345</v>
      </c>
      <c r="Z93" s="31"/>
      <c r="AA93" s="31">
        <v>1</v>
      </c>
      <c r="AB93" s="31">
        <v>1.07</v>
      </c>
      <c r="AC93" s="31">
        <v>1.1000000000000001</v>
      </c>
      <c r="AD93" s="31">
        <v>1.3</v>
      </c>
      <c r="AE93" s="31">
        <v>1.3</v>
      </c>
      <c r="AF93" s="31">
        <v>1.5</v>
      </c>
      <c r="AG93" s="31">
        <v>1.55</v>
      </c>
      <c r="AH93" s="31">
        <v>1.65</v>
      </c>
      <c r="AI93" s="31">
        <v>1.7</v>
      </c>
      <c r="AJ93" s="31"/>
      <c r="AK93" s="31">
        <v>2</v>
      </c>
      <c r="AL93" s="215">
        <v>1.52</v>
      </c>
      <c r="AM93" s="31">
        <v>0.3</v>
      </c>
      <c r="AR93" s="217"/>
    </row>
    <row r="94" spans="1:44" s="29" customFormat="1">
      <c r="I94" s="207"/>
      <c r="J94" s="207"/>
      <c r="R94" s="30"/>
      <c r="S94" s="30"/>
      <c r="T94" s="30"/>
      <c r="U94" s="30"/>
      <c r="V94" s="30"/>
      <c r="W94" s="30"/>
      <c r="X94" s="30"/>
      <c r="Y94" s="30"/>
      <c r="Z94" s="208"/>
      <c r="AA94" s="30"/>
      <c r="AB94" s="30"/>
      <c r="AC94" s="30"/>
      <c r="AD94" s="30"/>
      <c r="AE94" s="30"/>
      <c r="AF94" s="30"/>
      <c r="AG94" s="30"/>
      <c r="AH94" s="30"/>
      <c r="AI94" s="30"/>
      <c r="AJ94" s="208"/>
      <c r="AL94" s="30"/>
      <c r="AM94" s="30"/>
      <c r="AR94" s="217"/>
    </row>
    <row r="95" spans="1:44" s="29" customFormat="1">
      <c r="B95" s="29" t="s">
        <v>741</v>
      </c>
      <c r="I95" s="207"/>
      <c r="J95" s="207"/>
      <c r="R95" s="30"/>
      <c r="S95" s="30"/>
      <c r="T95" s="30"/>
      <c r="U95" s="30"/>
      <c r="V95" s="30"/>
      <c r="W95" s="30"/>
      <c r="X95" s="30"/>
      <c r="Y95" s="30"/>
      <c r="Z95" s="208"/>
      <c r="AA95" s="30"/>
      <c r="AB95" s="30"/>
      <c r="AC95" s="30"/>
      <c r="AD95" s="30"/>
      <c r="AE95" s="30"/>
      <c r="AF95" s="30"/>
      <c r="AG95" s="30"/>
      <c r="AH95" s="30"/>
      <c r="AI95" s="30"/>
      <c r="AJ95" s="208"/>
      <c r="AL95" s="30"/>
      <c r="AM95" s="30"/>
      <c r="AR95" s="217"/>
    </row>
    <row r="96" spans="1:44" s="29" customFormat="1">
      <c r="A96" s="295" t="s">
        <v>741</v>
      </c>
      <c r="B96" s="29" t="s">
        <v>735</v>
      </c>
      <c r="C96" s="29" t="s">
        <v>251</v>
      </c>
      <c r="D96" s="29">
        <v>10</v>
      </c>
      <c r="E96" s="29">
        <v>1000</v>
      </c>
      <c r="F96" s="29">
        <v>32000</v>
      </c>
      <c r="G96" s="29">
        <v>70</v>
      </c>
      <c r="H96" s="29">
        <v>1.2</v>
      </c>
      <c r="I96" s="207"/>
      <c r="J96" s="207"/>
      <c r="K96" s="29" t="s">
        <v>297</v>
      </c>
      <c r="L96" s="200" t="s">
        <v>443</v>
      </c>
      <c r="M96" s="29">
        <v>532.9</v>
      </c>
      <c r="N96" s="29">
        <v>2281.6</v>
      </c>
      <c r="O96" s="29">
        <v>2010</v>
      </c>
      <c r="Q96" s="31" t="s">
        <v>337</v>
      </c>
      <c r="R96" s="31" t="s">
        <v>338</v>
      </c>
      <c r="S96" s="31" t="s">
        <v>339</v>
      </c>
      <c r="T96" s="31" t="s">
        <v>340</v>
      </c>
      <c r="U96" s="31" t="s">
        <v>341</v>
      </c>
      <c r="V96" s="31" t="s">
        <v>342</v>
      </c>
      <c r="W96" s="31" t="s">
        <v>343</v>
      </c>
      <c r="X96" s="31" t="s">
        <v>344</v>
      </c>
      <c r="Y96" s="31" t="s">
        <v>345</v>
      </c>
      <c r="Z96" s="31"/>
      <c r="AA96" s="31">
        <v>1</v>
      </c>
      <c r="AB96" s="31">
        <v>1.07</v>
      </c>
      <c r="AC96" s="31">
        <v>1.1000000000000001</v>
      </c>
      <c r="AD96" s="31">
        <v>1.3</v>
      </c>
      <c r="AE96" s="31">
        <v>1.3</v>
      </c>
      <c r="AF96" s="31">
        <v>1.5</v>
      </c>
      <c r="AG96" s="31">
        <v>1.55</v>
      </c>
      <c r="AH96" s="31">
        <v>1.65</v>
      </c>
      <c r="AI96" s="31">
        <v>1.7</v>
      </c>
      <c r="AJ96" s="31"/>
      <c r="AK96" s="31">
        <v>3.17</v>
      </c>
      <c r="AL96" s="31">
        <v>1.61</v>
      </c>
      <c r="AM96" s="31">
        <v>0.05</v>
      </c>
      <c r="AR96" s="217"/>
    </row>
    <row r="97" spans="1:44" s="29" customFormat="1">
      <c r="A97" s="295" t="s">
        <v>741</v>
      </c>
      <c r="B97" s="29" t="s">
        <v>736</v>
      </c>
      <c r="C97" s="29" t="s">
        <v>251</v>
      </c>
      <c r="D97" s="29">
        <v>1</v>
      </c>
      <c r="E97" s="29">
        <v>80</v>
      </c>
      <c r="F97" s="29">
        <v>1900</v>
      </c>
      <c r="G97" s="29">
        <v>2500</v>
      </c>
      <c r="H97" s="29">
        <v>1</v>
      </c>
      <c r="I97" s="207"/>
      <c r="J97" s="207"/>
      <c r="K97" s="29" t="s">
        <v>297</v>
      </c>
      <c r="L97" s="200" t="s">
        <v>443</v>
      </c>
      <c r="M97" s="29">
        <v>532.9</v>
      </c>
      <c r="N97" s="29">
        <v>2281.6</v>
      </c>
      <c r="O97" s="29">
        <v>2010</v>
      </c>
      <c r="Q97" s="31" t="s">
        <v>337</v>
      </c>
      <c r="R97" s="31" t="s">
        <v>338</v>
      </c>
      <c r="S97" s="31" t="s">
        <v>339</v>
      </c>
      <c r="T97" s="31" t="s">
        <v>340</v>
      </c>
      <c r="U97" s="31" t="s">
        <v>341</v>
      </c>
      <c r="V97" s="31" t="s">
        <v>342</v>
      </c>
      <c r="W97" s="31" t="s">
        <v>343</v>
      </c>
      <c r="X97" s="31" t="s">
        <v>344</v>
      </c>
      <c r="Y97" s="31" t="s">
        <v>345</v>
      </c>
      <c r="Z97" s="31"/>
      <c r="AA97" s="31">
        <v>1</v>
      </c>
      <c r="AB97" s="31">
        <v>1.07</v>
      </c>
      <c r="AC97" s="31">
        <v>1.1000000000000001</v>
      </c>
      <c r="AD97" s="31">
        <v>1.3</v>
      </c>
      <c r="AE97" s="31">
        <v>1.3</v>
      </c>
      <c r="AF97" s="31">
        <v>1.5</v>
      </c>
      <c r="AG97" s="31">
        <v>1.55</v>
      </c>
      <c r="AH97" s="31">
        <v>1.65</v>
      </c>
      <c r="AI97" s="31">
        <v>1.7</v>
      </c>
      <c r="AJ97" s="31"/>
      <c r="AK97" s="31">
        <v>1.8</v>
      </c>
      <c r="AL97" s="31">
        <v>1.61</v>
      </c>
      <c r="AM97" s="31">
        <v>0.05</v>
      </c>
      <c r="AR97" s="217"/>
    </row>
    <row r="98" spans="1:44" s="29" customFormat="1">
      <c r="A98" s="295" t="s">
        <v>741</v>
      </c>
      <c r="B98" s="29" t="s">
        <v>737</v>
      </c>
      <c r="C98" s="29" t="s">
        <v>251</v>
      </c>
      <c r="D98" s="29">
        <v>10</v>
      </c>
      <c r="E98" s="29">
        <v>500</v>
      </c>
      <c r="F98" s="29">
        <v>30400</v>
      </c>
      <c r="G98" s="29">
        <v>122</v>
      </c>
      <c r="H98" s="29">
        <v>1.1000000000000001</v>
      </c>
      <c r="I98" s="207"/>
      <c r="J98" s="207"/>
      <c r="K98" s="29" t="s">
        <v>297</v>
      </c>
      <c r="L98" s="200" t="s">
        <v>443</v>
      </c>
      <c r="M98" s="29">
        <v>532.9</v>
      </c>
      <c r="N98" s="29">
        <v>2281.6</v>
      </c>
      <c r="O98" s="29">
        <v>2010</v>
      </c>
      <c r="Q98" s="31" t="s">
        <v>337</v>
      </c>
      <c r="R98" s="31" t="s">
        <v>338</v>
      </c>
      <c r="S98" s="31" t="s">
        <v>339</v>
      </c>
      <c r="T98" s="31" t="s">
        <v>340</v>
      </c>
      <c r="U98" s="31" t="s">
        <v>341</v>
      </c>
      <c r="V98" s="31" t="s">
        <v>342</v>
      </c>
      <c r="W98" s="31" t="s">
        <v>343</v>
      </c>
      <c r="X98" s="31" t="s">
        <v>344</v>
      </c>
      <c r="Y98" s="31" t="s">
        <v>345</v>
      </c>
      <c r="Z98" s="31"/>
      <c r="AA98" s="31">
        <v>1</v>
      </c>
      <c r="AB98" s="31">
        <v>1.07</v>
      </c>
      <c r="AC98" s="31">
        <v>1.1000000000000001</v>
      </c>
      <c r="AD98" s="31">
        <v>1.3</v>
      </c>
      <c r="AE98" s="31">
        <v>1.3</v>
      </c>
      <c r="AF98" s="31">
        <v>1.5</v>
      </c>
      <c r="AG98" s="31">
        <v>1.55</v>
      </c>
      <c r="AH98" s="31">
        <v>1.65</v>
      </c>
      <c r="AI98" s="31">
        <v>1.7</v>
      </c>
      <c r="AJ98" s="31"/>
      <c r="AK98" s="29" t="s">
        <v>162</v>
      </c>
      <c r="AL98" s="31">
        <v>1.61</v>
      </c>
      <c r="AM98" s="31">
        <v>0.05</v>
      </c>
      <c r="AR98" s="217"/>
    </row>
    <row r="99" spans="1:44" s="29" customFormat="1">
      <c r="A99" s="295" t="s">
        <v>741</v>
      </c>
      <c r="B99" s="29" t="s">
        <v>738</v>
      </c>
      <c r="C99" s="29" t="s">
        <v>251</v>
      </c>
      <c r="D99" s="29">
        <v>10</v>
      </c>
      <c r="E99" s="29">
        <v>500</v>
      </c>
      <c r="F99" s="29">
        <v>29000</v>
      </c>
      <c r="G99" s="29">
        <v>400</v>
      </c>
      <c r="H99" s="29">
        <v>0.9</v>
      </c>
      <c r="I99" s="207"/>
      <c r="J99" s="207"/>
      <c r="K99" s="29" t="s">
        <v>297</v>
      </c>
      <c r="L99" s="200" t="s">
        <v>443</v>
      </c>
      <c r="M99" s="29">
        <v>532.9</v>
      </c>
      <c r="N99" s="29">
        <v>2281.6</v>
      </c>
      <c r="O99" s="29">
        <v>2010</v>
      </c>
      <c r="Q99" s="31" t="s">
        <v>337</v>
      </c>
      <c r="R99" s="31" t="s">
        <v>338</v>
      </c>
      <c r="S99" s="31" t="s">
        <v>339</v>
      </c>
      <c r="T99" s="31" t="s">
        <v>340</v>
      </c>
      <c r="U99" s="31" t="s">
        <v>341</v>
      </c>
      <c r="V99" s="31" t="s">
        <v>342</v>
      </c>
      <c r="W99" s="31" t="s">
        <v>343</v>
      </c>
      <c r="X99" s="31" t="s">
        <v>344</v>
      </c>
      <c r="Y99" s="31" t="s">
        <v>345</v>
      </c>
      <c r="Z99" s="31"/>
      <c r="AA99" s="31">
        <v>1</v>
      </c>
      <c r="AB99" s="31">
        <v>1.07</v>
      </c>
      <c r="AC99" s="31">
        <v>1.1000000000000001</v>
      </c>
      <c r="AD99" s="31">
        <v>1.3</v>
      </c>
      <c r="AE99" s="31">
        <v>1.3</v>
      </c>
      <c r="AF99" s="31">
        <v>1.5</v>
      </c>
      <c r="AG99" s="31">
        <v>1.55</v>
      </c>
      <c r="AH99" s="31">
        <v>1.65</v>
      </c>
      <c r="AI99" s="31">
        <v>1.7</v>
      </c>
      <c r="AJ99" s="31"/>
      <c r="AK99" s="29" t="s">
        <v>162</v>
      </c>
      <c r="AL99" s="31">
        <v>1.61</v>
      </c>
      <c r="AM99" s="31">
        <v>0.05</v>
      </c>
      <c r="AR99" s="217"/>
    </row>
    <row r="100" spans="1:44" s="29" customFormat="1">
      <c r="A100" s="295" t="s">
        <v>741</v>
      </c>
      <c r="B100" s="29" t="s">
        <v>739</v>
      </c>
      <c r="C100" s="29" t="s">
        <v>251</v>
      </c>
      <c r="D100" s="29">
        <v>10</v>
      </c>
      <c r="E100" s="29">
        <v>1000</v>
      </c>
      <c r="F100" s="29">
        <v>28000</v>
      </c>
      <c r="G100" s="29">
        <v>54</v>
      </c>
      <c r="H100" s="29">
        <v>1.2</v>
      </c>
      <c r="I100" s="207"/>
      <c r="J100" s="207"/>
      <c r="K100" s="29" t="s">
        <v>297</v>
      </c>
      <c r="L100" s="200" t="s">
        <v>443</v>
      </c>
      <c r="M100" s="29">
        <v>532.9</v>
      </c>
      <c r="N100" s="29">
        <v>2281.6</v>
      </c>
      <c r="O100" s="29">
        <v>2010</v>
      </c>
      <c r="Q100" s="31" t="s">
        <v>337</v>
      </c>
      <c r="R100" s="31" t="s">
        <v>338</v>
      </c>
      <c r="S100" s="31" t="s">
        <v>339</v>
      </c>
      <c r="T100" s="31" t="s">
        <v>340</v>
      </c>
      <c r="U100" s="31" t="s">
        <v>341</v>
      </c>
      <c r="V100" s="31" t="s">
        <v>342</v>
      </c>
      <c r="W100" s="31" t="s">
        <v>343</v>
      </c>
      <c r="X100" s="31" t="s">
        <v>344</v>
      </c>
      <c r="Y100" s="31" t="s">
        <v>345</v>
      </c>
      <c r="Z100" s="31"/>
      <c r="AA100" s="31">
        <v>1</v>
      </c>
      <c r="AB100" s="31">
        <v>1.07</v>
      </c>
      <c r="AC100" s="31">
        <v>1.1000000000000001</v>
      </c>
      <c r="AD100" s="31">
        <v>1.3</v>
      </c>
      <c r="AE100" s="31">
        <v>1.3</v>
      </c>
      <c r="AF100" s="31">
        <v>1.5</v>
      </c>
      <c r="AG100" s="31">
        <v>1.55</v>
      </c>
      <c r="AH100" s="31">
        <v>1.65</v>
      </c>
      <c r="AI100" s="31">
        <v>1.7</v>
      </c>
      <c r="AJ100" s="31"/>
      <c r="AK100" s="31">
        <v>3.17</v>
      </c>
      <c r="AL100" s="31">
        <v>1.61</v>
      </c>
      <c r="AM100" s="31">
        <v>0.05</v>
      </c>
      <c r="AR100" s="217"/>
    </row>
    <row r="101" spans="1:44" s="29" customFormat="1">
      <c r="A101" s="295" t="s">
        <v>741</v>
      </c>
      <c r="B101" s="29" t="s">
        <v>740</v>
      </c>
      <c r="C101" s="29" t="s">
        <v>251</v>
      </c>
      <c r="D101" s="29">
        <v>1</v>
      </c>
      <c r="E101" s="29">
        <v>500</v>
      </c>
      <c r="F101" s="29">
        <v>1600</v>
      </c>
      <c r="G101" s="29">
        <v>210</v>
      </c>
      <c r="H101" s="29">
        <v>0.95</v>
      </c>
      <c r="I101" s="207"/>
      <c r="J101" s="207"/>
      <c r="K101" s="29" t="s">
        <v>297</v>
      </c>
      <c r="L101" s="200" t="s">
        <v>443</v>
      </c>
      <c r="M101" s="29">
        <v>532.9</v>
      </c>
      <c r="N101" s="29">
        <v>2281.6</v>
      </c>
      <c r="O101" s="29">
        <v>2010</v>
      </c>
      <c r="P101" s="29" t="s">
        <v>255</v>
      </c>
      <c r="Q101" s="31" t="s">
        <v>337</v>
      </c>
      <c r="R101" s="31" t="s">
        <v>338</v>
      </c>
      <c r="S101" s="31" t="s">
        <v>339</v>
      </c>
      <c r="T101" s="31" t="s">
        <v>340</v>
      </c>
      <c r="U101" s="31" t="s">
        <v>341</v>
      </c>
      <c r="V101" s="31" t="s">
        <v>342</v>
      </c>
      <c r="W101" s="31" t="s">
        <v>343</v>
      </c>
      <c r="X101" s="31" t="s">
        <v>344</v>
      </c>
      <c r="Y101" s="31" t="s">
        <v>345</v>
      </c>
      <c r="Z101" s="31"/>
      <c r="AA101" s="30">
        <v>0.76923076923076916</v>
      </c>
      <c r="AB101" s="30">
        <v>0.82307692307692315</v>
      </c>
      <c r="AC101" s="30">
        <v>0.84615384615384615</v>
      </c>
      <c r="AD101" s="30">
        <v>1</v>
      </c>
      <c r="AE101" s="30">
        <v>1</v>
      </c>
      <c r="AF101" s="30">
        <v>1.1538461538461537</v>
      </c>
      <c r="AG101" s="30">
        <v>1.1923076923076923</v>
      </c>
      <c r="AH101" s="30">
        <v>1.2692307692307692</v>
      </c>
      <c r="AI101" s="30">
        <v>1.3076923076923077</v>
      </c>
      <c r="AJ101" s="208"/>
      <c r="AK101" s="29" t="s">
        <v>162</v>
      </c>
      <c r="AL101" s="31">
        <v>1.61</v>
      </c>
      <c r="AM101" s="31">
        <v>0.05</v>
      </c>
      <c r="AR101" s="217"/>
    </row>
    <row r="102" spans="1:44" s="29" customFormat="1">
      <c r="I102" s="207"/>
      <c r="J102" s="207"/>
      <c r="R102" s="30"/>
      <c r="S102" s="30"/>
      <c r="T102" s="30"/>
      <c r="U102" s="30"/>
      <c r="V102" s="30"/>
      <c r="W102" s="30"/>
      <c r="X102" s="30"/>
      <c r="Y102" s="30"/>
      <c r="Z102" s="208"/>
      <c r="AA102" s="30"/>
      <c r="AB102" s="30"/>
      <c r="AC102" s="30"/>
      <c r="AD102" s="30"/>
      <c r="AE102" s="30"/>
      <c r="AF102" s="30"/>
      <c r="AG102" s="30"/>
      <c r="AH102" s="30"/>
      <c r="AI102" s="30"/>
      <c r="AJ102" s="208"/>
      <c r="AL102" s="30"/>
      <c r="AM102" s="30"/>
      <c r="AR102" s="217"/>
    </row>
    <row r="103" spans="1:44">
      <c r="B103" t="s">
        <v>775</v>
      </c>
    </row>
    <row r="104" spans="1:44">
      <c r="A104" s="295" t="s">
        <v>775</v>
      </c>
      <c r="B104" t="s">
        <v>492</v>
      </c>
      <c r="C104" t="s">
        <v>496</v>
      </c>
      <c r="D104" s="203">
        <v>40</v>
      </c>
      <c r="E104" s="203">
        <v>150000</v>
      </c>
      <c r="F104">
        <v>0</v>
      </c>
      <c r="G104">
        <v>2835</v>
      </c>
      <c r="H104">
        <v>0.4</v>
      </c>
      <c r="K104" s="203" t="s">
        <v>297</v>
      </c>
      <c r="L104" s="203" t="s">
        <v>442</v>
      </c>
      <c r="M104" s="31">
        <v>567</v>
      </c>
      <c r="N104" s="31"/>
      <c r="O104" s="31">
        <v>2013</v>
      </c>
      <c r="P104" s="208" t="s">
        <v>337</v>
      </c>
      <c r="Q104" s="208" t="s">
        <v>337</v>
      </c>
      <c r="R104" s="208" t="s">
        <v>180</v>
      </c>
      <c r="S104" s="208" t="s">
        <v>353</v>
      </c>
      <c r="T104" s="208" t="s">
        <v>179</v>
      </c>
      <c r="U104" s="208" t="s">
        <v>344</v>
      </c>
      <c r="V104" s="208" t="s">
        <v>713</v>
      </c>
      <c r="W104" s="208" t="s">
        <v>356</v>
      </c>
      <c r="X104" s="208"/>
      <c r="Y104" s="208"/>
      <c r="AA104" s="208">
        <v>1</v>
      </c>
      <c r="AB104" s="208">
        <v>1.2</v>
      </c>
      <c r="AC104" s="208">
        <v>2</v>
      </c>
      <c r="AD104" s="208">
        <v>2.5</v>
      </c>
      <c r="AE104" s="208">
        <v>2.7</v>
      </c>
      <c r="AF104" s="208">
        <v>3</v>
      </c>
      <c r="AG104" s="208">
        <v>6</v>
      </c>
      <c r="AK104" s="29" t="s">
        <v>162</v>
      </c>
      <c r="AL104" s="31">
        <v>1.61</v>
      </c>
      <c r="AM104" s="31">
        <v>0.05</v>
      </c>
    </row>
    <row r="105" spans="1:44">
      <c r="A105" s="295" t="s">
        <v>775</v>
      </c>
      <c r="B105" t="s">
        <v>493</v>
      </c>
      <c r="C105" t="s">
        <v>482</v>
      </c>
      <c r="D105">
        <v>150</v>
      </c>
      <c r="E105">
        <v>15000</v>
      </c>
      <c r="F105">
        <v>0</v>
      </c>
      <c r="G105">
        <v>10070</v>
      </c>
      <c r="H105">
        <v>0.42</v>
      </c>
      <c r="K105" s="203" t="s">
        <v>297</v>
      </c>
      <c r="L105" s="203" t="s">
        <v>442</v>
      </c>
      <c r="M105" s="31">
        <v>567</v>
      </c>
      <c r="N105" s="31"/>
      <c r="O105" s="31">
        <v>2013</v>
      </c>
      <c r="P105" s="208" t="s">
        <v>353</v>
      </c>
      <c r="Q105" s="208" t="s">
        <v>337</v>
      </c>
      <c r="R105" s="208" t="s">
        <v>180</v>
      </c>
      <c r="S105" s="208" t="s">
        <v>353</v>
      </c>
      <c r="T105" s="208" t="s">
        <v>179</v>
      </c>
      <c r="U105" s="208" t="s">
        <v>344</v>
      </c>
      <c r="V105" s="208" t="s">
        <v>713</v>
      </c>
      <c r="W105" s="208" t="s">
        <v>356</v>
      </c>
      <c r="X105" s="208"/>
      <c r="Y105" s="208"/>
      <c r="AA105" s="208">
        <v>0.5</v>
      </c>
      <c r="AB105" s="208">
        <v>0.6</v>
      </c>
      <c r="AC105" s="208">
        <v>1</v>
      </c>
      <c r="AD105" s="208">
        <v>1.25</v>
      </c>
      <c r="AE105" s="208">
        <v>1.35</v>
      </c>
      <c r="AF105" s="208">
        <v>1.5</v>
      </c>
      <c r="AG105" s="208">
        <v>3</v>
      </c>
      <c r="AK105" s="29" t="s">
        <v>162</v>
      </c>
      <c r="AL105" s="31">
        <v>1.7</v>
      </c>
      <c r="AM105" s="31">
        <v>0.05</v>
      </c>
      <c r="AN105" s="208" t="s">
        <v>353</v>
      </c>
    </row>
    <row r="106" spans="1:44">
      <c r="A106" s="295" t="s">
        <v>775</v>
      </c>
      <c r="B106" s="203" t="s">
        <v>495</v>
      </c>
      <c r="C106" s="203" t="s">
        <v>482</v>
      </c>
      <c r="D106">
        <v>20</v>
      </c>
      <c r="E106">
        <v>2000</v>
      </c>
      <c r="F106">
        <v>0</v>
      </c>
      <c r="G106">
        <v>7030</v>
      </c>
      <c r="H106">
        <v>0.42</v>
      </c>
      <c r="K106" s="203" t="s">
        <v>297</v>
      </c>
      <c r="L106" s="203" t="s">
        <v>442</v>
      </c>
      <c r="M106" s="31">
        <v>567</v>
      </c>
      <c r="N106" s="31"/>
      <c r="O106" s="31">
        <v>2013</v>
      </c>
      <c r="P106" s="208" t="s">
        <v>353</v>
      </c>
      <c r="Q106" s="208" t="s">
        <v>337</v>
      </c>
      <c r="R106" s="208" t="s">
        <v>180</v>
      </c>
      <c r="S106" s="208" t="s">
        <v>353</v>
      </c>
      <c r="T106" s="208" t="s">
        <v>179</v>
      </c>
      <c r="U106" s="208" t="s">
        <v>344</v>
      </c>
      <c r="V106" s="208" t="s">
        <v>713</v>
      </c>
      <c r="W106" s="208" t="s">
        <v>356</v>
      </c>
      <c r="X106" s="208"/>
      <c r="Y106" s="208"/>
      <c r="AA106" s="208">
        <v>0.5</v>
      </c>
      <c r="AB106" s="208">
        <v>0.6</v>
      </c>
      <c r="AC106" s="208">
        <v>1</v>
      </c>
      <c r="AD106" s="208">
        <v>1.25</v>
      </c>
      <c r="AE106" s="208">
        <v>1.35</v>
      </c>
      <c r="AF106" s="208">
        <v>1.5</v>
      </c>
      <c r="AG106" s="208">
        <v>3</v>
      </c>
      <c r="AK106" s="29" t="s">
        <v>162</v>
      </c>
      <c r="AL106" s="30">
        <v>1.61</v>
      </c>
      <c r="AM106" s="31">
        <v>0.05</v>
      </c>
      <c r="AN106" s="208" t="s">
        <v>353</v>
      </c>
    </row>
    <row r="107" spans="1:44">
      <c r="A107" s="295" t="s">
        <v>775</v>
      </c>
      <c r="B107" s="203" t="s">
        <v>494</v>
      </c>
      <c r="C107" s="203" t="s">
        <v>482</v>
      </c>
      <c r="D107">
        <v>1</v>
      </c>
      <c r="E107">
        <v>500</v>
      </c>
      <c r="F107">
        <v>8.2014999999999993</v>
      </c>
      <c r="G107">
        <v>0.43430000000000002</v>
      </c>
      <c r="H107">
        <v>3.8120000000000001E-2</v>
      </c>
      <c r="I107" s="208">
        <v>0</v>
      </c>
      <c r="J107" s="208">
        <v>0</v>
      </c>
      <c r="K107" s="204" t="s">
        <v>557</v>
      </c>
      <c r="L107" s="203" t="s">
        <v>442</v>
      </c>
      <c r="M107" s="31">
        <v>567</v>
      </c>
      <c r="N107" s="31"/>
      <c r="O107" s="31">
        <v>2013</v>
      </c>
      <c r="P107" s="208" t="s">
        <v>353</v>
      </c>
      <c r="Q107" s="208" t="s">
        <v>337</v>
      </c>
      <c r="R107" s="208" t="s">
        <v>180</v>
      </c>
      <c r="S107" s="208" t="s">
        <v>353</v>
      </c>
      <c r="T107" s="208" t="s">
        <v>179</v>
      </c>
      <c r="U107" s="208" t="s">
        <v>344</v>
      </c>
      <c r="V107" s="208" t="s">
        <v>713</v>
      </c>
      <c r="W107" s="208" t="s">
        <v>356</v>
      </c>
      <c r="X107" s="208"/>
      <c r="Y107" s="208"/>
      <c r="AA107" s="208">
        <v>0.5</v>
      </c>
      <c r="AB107" s="208">
        <v>0.6</v>
      </c>
      <c r="AC107" s="208">
        <v>1</v>
      </c>
      <c r="AD107" s="208">
        <v>1.25</v>
      </c>
      <c r="AE107" s="208">
        <v>1.35</v>
      </c>
      <c r="AF107" s="208">
        <v>1.5</v>
      </c>
      <c r="AG107" s="208">
        <v>3</v>
      </c>
      <c r="AK107" s="29" t="s">
        <v>162</v>
      </c>
      <c r="AL107" s="30">
        <v>1.61</v>
      </c>
      <c r="AM107" s="31">
        <v>0.05</v>
      </c>
      <c r="AN107" s="208" t="s">
        <v>353</v>
      </c>
    </row>
    <row r="108" spans="1:44">
      <c r="P108" s="208"/>
    </row>
    <row r="109" spans="1:44">
      <c r="B109" t="s">
        <v>505</v>
      </c>
      <c r="P109" s="208"/>
    </row>
    <row r="110" spans="1:44">
      <c r="A110" s="203" t="s">
        <v>505</v>
      </c>
      <c r="B110" t="s">
        <v>497</v>
      </c>
      <c r="C110" t="s">
        <v>498</v>
      </c>
      <c r="D110">
        <v>3</v>
      </c>
      <c r="E110">
        <v>2000</v>
      </c>
      <c r="F110">
        <v>0</v>
      </c>
      <c r="G110">
        <v>363</v>
      </c>
      <c r="H110">
        <v>0.84</v>
      </c>
      <c r="K110" s="203" t="s">
        <v>297</v>
      </c>
      <c r="L110" s="203" t="s">
        <v>442</v>
      </c>
      <c r="M110" s="31">
        <v>567</v>
      </c>
      <c r="N110" s="31"/>
      <c r="O110" s="31">
        <v>2013</v>
      </c>
      <c r="P110" s="208" t="s">
        <v>337</v>
      </c>
      <c r="Q110" s="208" t="s">
        <v>337</v>
      </c>
      <c r="R110" s="208" t="s">
        <v>180</v>
      </c>
      <c r="S110" s="208" t="s">
        <v>353</v>
      </c>
      <c r="T110" s="208" t="s">
        <v>179</v>
      </c>
      <c r="U110" s="208" t="s">
        <v>344</v>
      </c>
      <c r="V110" s="208" t="s">
        <v>713</v>
      </c>
      <c r="W110" s="208" t="s">
        <v>356</v>
      </c>
      <c r="X110" s="208"/>
      <c r="Y110" s="208"/>
      <c r="AA110" s="208">
        <v>1</v>
      </c>
      <c r="AB110" s="208">
        <v>1.2</v>
      </c>
      <c r="AC110" s="208">
        <v>2</v>
      </c>
      <c r="AD110" s="208">
        <v>2.5</v>
      </c>
      <c r="AE110" s="208">
        <v>2.7</v>
      </c>
      <c r="AF110" s="208">
        <v>3</v>
      </c>
      <c r="AG110" s="208">
        <v>6</v>
      </c>
      <c r="AH110" s="203"/>
      <c r="AI110" s="203"/>
      <c r="AK110" s="203" t="s">
        <v>162</v>
      </c>
      <c r="AL110" s="203">
        <v>1</v>
      </c>
      <c r="AM110" s="27">
        <v>0.1</v>
      </c>
      <c r="AN110" s="203"/>
    </row>
    <row r="112" spans="1:44">
      <c r="B112" t="s">
        <v>506</v>
      </c>
    </row>
    <row r="113" spans="1:40">
      <c r="A113" s="203" t="s">
        <v>506</v>
      </c>
      <c r="B113" t="s">
        <v>500</v>
      </c>
      <c r="C113" t="s">
        <v>507</v>
      </c>
      <c r="D113" s="205">
        <v>2000000</v>
      </c>
      <c r="E113" s="205">
        <v>50000000</v>
      </c>
      <c r="F113">
        <v>0.1258</v>
      </c>
      <c r="G113">
        <v>1.802</v>
      </c>
      <c r="H113">
        <v>1.7749999999999998E-2</v>
      </c>
      <c r="I113" s="208">
        <v>0</v>
      </c>
      <c r="J113" s="208">
        <v>0</v>
      </c>
      <c r="K113" s="204" t="s">
        <v>557</v>
      </c>
      <c r="L113" s="203" t="s">
        <v>442</v>
      </c>
      <c r="M113" s="31">
        <v>567</v>
      </c>
      <c r="N113" s="31"/>
      <c r="O113" s="31">
        <v>2013</v>
      </c>
      <c r="Q113" s="208" t="s">
        <v>337</v>
      </c>
      <c r="R113" s="208" t="s">
        <v>180</v>
      </c>
      <c r="S113" s="208" t="s">
        <v>353</v>
      </c>
      <c r="T113" s="208" t="s">
        <v>179</v>
      </c>
      <c r="U113" s="208" t="s">
        <v>344</v>
      </c>
      <c r="V113" s="208" t="s">
        <v>713</v>
      </c>
      <c r="W113" s="208" t="s">
        <v>356</v>
      </c>
      <c r="X113" s="208"/>
      <c r="Y113" s="208"/>
      <c r="AA113" s="208">
        <v>1</v>
      </c>
      <c r="AB113" s="208">
        <v>1.2</v>
      </c>
      <c r="AC113" s="208">
        <v>2</v>
      </c>
      <c r="AD113" s="208">
        <v>2.5</v>
      </c>
      <c r="AE113" s="208">
        <v>2.7</v>
      </c>
      <c r="AF113" s="208">
        <v>3</v>
      </c>
      <c r="AG113" s="208">
        <v>6</v>
      </c>
      <c r="AK113" s="29">
        <v>1</v>
      </c>
      <c r="AL113" s="30">
        <v>1</v>
      </c>
      <c r="AM113" s="27">
        <v>0.1</v>
      </c>
      <c r="AN113" t="s">
        <v>509</v>
      </c>
    </row>
    <row r="114" spans="1:40">
      <c r="A114" s="203" t="s">
        <v>506</v>
      </c>
      <c r="B114" t="s">
        <v>501</v>
      </c>
      <c r="C114" t="s">
        <v>507</v>
      </c>
      <c r="D114" s="205">
        <v>200000</v>
      </c>
      <c r="E114" s="205">
        <v>14000000</v>
      </c>
      <c r="F114">
        <v>0</v>
      </c>
      <c r="G114">
        <v>3.1</v>
      </c>
      <c r="H114">
        <v>1</v>
      </c>
      <c r="K114" s="203" t="s">
        <v>297</v>
      </c>
      <c r="L114" s="203" t="s">
        <v>442</v>
      </c>
      <c r="M114" s="31">
        <v>567</v>
      </c>
      <c r="N114" s="31"/>
      <c r="O114" s="31">
        <v>2013</v>
      </c>
      <c r="Q114" s="208" t="s">
        <v>337</v>
      </c>
      <c r="R114" s="208" t="s">
        <v>180</v>
      </c>
      <c r="S114" s="208" t="s">
        <v>353</v>
      </c>
      <c r="T114" s="208" t="s">
        <v>179</v>
      </c>
      <c r="U114" s="208" t="s">
        <v>344</v>
      </c>
      <c r="V114" s="208" t="s">
        <v>713</v>
      </c>
      <c r="W114" s="208" t="s">
        <v>356</v>
      </c>
      <c r="X114" s="208"/>
      <c r="Y114" s="208"/>
      <c r="AA114" s="208">
        <v>1</v>
      </c>
      <c r="AB114" s="208">
        <v>1.2</v>
      </c>
      <c r="AC114" s="208">
        <v>2</v>
      </c>
      <c r="AD114" s="208">
        <v>2.5</v>
      </c>
      <c r="AE114" s="208">
        <v>2.7</v>
      </c>
      <c r="AF114" s="208">
        <v>3</v>
      </c>
      <c r="AG114" s="208">
        <v>6</v>
      </c>
      <c r="AK114" s="29">
        <v>1</v>
      </c>
      <c r="AL114" s="30">
        <v>1</v>
      </c>
      <c r="AM114" s="27">
        <v>0.1</v>
      </c>
      <c r="AN114" t="s">
        <v>509</v>
      </c>
    </row>
    <row r="115" spans="1:40">
      <c r="A115" s="203" t="s">
        <v>506</v>
      </c>
      <c r="B115" t="s">
        <v>502</v>
      </c>
      <c r="C115" t="s">
        <v>508</v>
      </c>
      <c r="D115" s="27">
        <v>0</v>
      </c>
      <c r="E115" s="28">
        <v>1000000000</v>
      </c>
      <c r="F115">
        <v>0</v>
      </c>
      <c r="G115">
        <v>51</v>
      </c>
      <c r="H115">
        <v>1</v>
      </c>
      <c r="K115" s="203" t="s">
        <v>297</v>
      </c>
      <c r="L115" s="203" t="s">
        <v>442</v>
      </c>
      <c r="M115" s="31">
        <v>567</v>
      </c>
      <c r="N115" s="31"/>
      <c r="O115" s="31">
        <v>2013</v>
      </c>
      <c r="Q115" s="208" t="s">
        <v>337</v>
      </c>
      <c r="R115" s="208" t="s">
        <v>180</v>
      </c>
      <c r="S115" s="208" t="s">
        <v>353</v>
      </c>
      <c r="T115" s="208" t="s">
        <v>179</v>
      </c>
      <c r="U115" s="208" t="s">
        <v>344</v>
      </c>
      <c r="V115" s="208" t="s">
        <v>713</v>
      </c>
      <c r="W115" s="208" t="s">
        <v>356</v>
      </c>
      <c r="X115" s="208"/>
      <c r="Y115" s="208"/>
      <c r="AA115" s="208">
        <v>1</v>
      </c>
      <c r="AB115" s="208">
        <v>1.2</v>
      </c>
      <c r="AC115" s="208">
        <v>2</v>
      </c>
      <c r="AD115" s="208">
        <v>2.5</v>
      </c>
      <c r="AE115" s="208">
        <v>2.7</v>
      </c>
      <c r="AF115" s="208">
        <v>3</v>
      </c>
      <c r="AG115" s="208">
        <v>6</v>
      </c>
      <c r="AK115" s="29" t="s">
        <v>162</v>
      </c>
      <c r="AL115" s="30">
        <v>1</v>
      </c>
      <c r="AM115" s="27">
        <v>0.1</v>
      </c>
      <c r="AN115" t="s">
        <v>510</v>
      </c>
    </row>
    <row r="116" spans="1:40">
      <c r="A116" s="203" t="s">
        <v>506</v>
      </c>
      <c r="B116" t="s">
        <v>503</v>
      </c>
      <c r="C116" s="203" t="s">
        <v>508</v>
      </c>
      <c r="D116" s="27">
        <v>0</v>
      </c>
      <c r="E116" s="28">
        <v>1000000000</v>
      </c>
      <c r="F116">
        <v>0</v>
      </c>
      <c r="G116">
        <v>43</v>
      </c>
      <c r="H116">
        <v>1</v>
      </c>
      <c r="K116" s="203" t="s">
        <v>297</v>
      </c>
      <c r="L116" s="203" t="s">
        <v>442</v>
      </c>
      <c r="M116" s="31">
        <v>567</v>
      </c>
      <c r="N116" s="31"/>
      <c r="O116" s="31">
        <v>2013</v>
      </c>
      <c r="Q116" s="208" t="s">
        <v>337</v>
      </c>
      <c r="R116" s="208" t="s">
        <v>180</v>
      </c>
      <c r="S116" s="208" t="s">
        <v>353</v>
      </c>
      <c r="T116" s="208" t="s">
        <v>179</v>
      </c>
      <c r="U116" s="208" t="s">
        <v>344</v>
      </c>
      <c r="V116" s="208" t="s">
        <v>713</v>
      </c>
      <c r="W116" s="208" t="s">
        <v>356</v>
      </c>
      <c r="X116" s="208"/>
      <c r="Y116" s="208"/>
      <c r="AA116" s="208">
        <v>1</v>
      </c>
      <c r="AB116" s="208">
        <v>1.2</v>
      </c>
      <c r="AC116" s="208">
        <v>2</v>
      </c>
      <c r="AD116" s="208">
        <v>2.5</v>
      </c>
      <c r="AE116" s="208">
        <v>2.7</v>
      </c>
      <c r="AF116" s="208">
        <v>3</v>
      </c>
      <c r="AG116" s="208">
        <v>6</v>
      </c>
      <c r="AK116" s="29" t="s">
        <v>162</v>
      </c>
      <c r="AL116" s="30">
        <v>1</v>
      </c>
      <c r="AM116" s="27">
        <v>0.1</v>
      </c>
      <c r="AN116" t="s">
        <v>510</v>
      </c>
    </row>
    <row r="117" spans="1:40">
      <c r="A117" s="203" t="s">
        <v>506</v>
      </c>
      <c r="B117" t="s">
        <v>512</v>
      </c>
      <c r="C117" s="203" t="s">
        <v>508</v>
      </c>
      <c r="D117" s="27">
        <v>0</v>
      </c>
      <c r="E117" s="28">
        <v>1000000000</v>
      </c>
      <c r="F117">
        <v>0</v>
      </c>
      <c r="G117">
        <v>10</v>
      </c>
      <c r="H117">
        <v>1</v>
      </c>
      <c r="K117" s="203" t="s">
        <v>297</v>
      </c>
      <c r="L117" s="203" t="s">
        <v>442</v>
      </c>
      <c r="M117" s="31">
        <v>567</v>
      </c>
      <c r="N117" s="31"/>
      <c r="O117" s="31">
        <v>2013</v>
      </c>
      <c r="Q117" s="208" t="s">
        <v>337</v>
      </c>
      <c r="R117" s="208" t="s">
        <v>180</v>
      </c>
      <c r="S117" s="208" t="s">
        <v>353</v>
      </c>
      <c r="T117" s="208" t="s">
        <v>179</v>
      </c>
      <c r="U117" s="208" t="s">
        <v>344</v>
      </c>
      <c r="V117" s="208" t="s">
        <v>713</v>
      </c>
      <c r="W117" s="208" t="s">
        <v>356</v>
      </c>
      <c r="X117" s="208"/>
      <c r="Y117" s="208"/>
      <c r="AA117" s="208">
        <v>1</v>
      </c>
      <c r="AB117" s="208">
        <v>1.2</v>
      </c>
      <c r="AC117" s="208">
        <v>2</v>
      </c>
      <c r="AD117" s="208">
        <v>2.5</v>
      </c>
      <c r="AE117" s="208">
        <v>2.7</v>
      </c>
      <c r="AF117" s="208">
        <v>3</v>
      </c>
      <c r="AG117" s="208">
        <v>6</v>
      </c>
      <c r="AK117" s="29" t="s">
        <v>162</v>
      </c>
      <c r="AL117" s="30">
        <v>1</v>
      </c>
      <c r="AM117" s="27">
        <v>0.1</v>
      </c>
      <c r="AN117" t="s">
        <v>511</v>
      </c>
    </row>
    <row r="118" spans="1:40">
      <c r="A118" s="203" t="s">
        <v>506</v>
      </c>
      <c r="B118" s="203" t="s">
        <v>513</v>
      </c>
      <c r="C118" s="203" t="s">
        <v>508</v>
      </c>
      <c r="D118" s="27">
        <v>0</v>
      </c>
      <c r="E118" s="28">
        <v>1000000000</v>
      </c>
      <c r="F118" s="203">
        <v>0</v>
      </c>
      <c r="G118" s="203">
        <v>17.5</v>
      </c>
      <c r="H118" s="203">
        <v>1</v>
      </c>
      <c r="K118" s="203" t="s">
        <v>297</v>
      </c>
      <c r="L118" s="203" t="s">
        <v>442</v>
      </c>
      <c r="M118" s="31">
        <v>567</v>
      </c>
      <c r="N118" s="31"/>
      <c r="O118" s="31">
        <v>2013</v>
      </c>
      <c r="P118" s="203"/>
      <c r="Q118" s="208" t="s">
        <v>337</v>
      </c>
      <c r="R118" s="208" t="s">
        <v>180</v>
      </c>
      <c r="S118" s="208" t="s">
        <v>353</v>
      </c>
      <c r="T118" s="208" t="s">
        <v>179</v>
      </c>
      <c r="U118" s="208" t="s">
        <v>344</v>
      </c>
      <c r="V118" s="208" t="s">
        <v>713</v>
      </c>
      <c r="W118" s="208" t="s">
        <v>356</v>
      </c>
      <c r="X118" s="208"/>
      <c r="Y118" s="208"/>
      <c r="AA118" s="208">
        <v>1</v>
      </c>
      <c r="AB118" s="208">
        <v>1.2</v>
      </c>
      <c r="AC118" s="208">
        <v>2</v>
      </c>
      <c r="AD118" s="208">
        <v>2.5</v>
      </c>
      <c r="AE118" s="208">
        <v>2.7</v>
      </c>
      <c r="AF118" s="208">
        <v>3</v>
      </c>
      <c r="AG118" s="208">
        <v>6</v>
      </c>
      <c r="AH118" s="203"/>
      <c r="AI118" s="203"/>
      <c r="AK118" s="203" t="s">
        <v>162</v>
      </c>
      <c r="AL118" s="203">
        <v>1</v>
      </c>
      <c r="AM118" s="27">
        <v>0.1</v>
      </c>
      <c r="AN118" s="203" t="s">
        <v>511</v>
      </c>
    </row>
    <row r="119" spans="1:40">
      <c r="A119" s="203" t="s">
        <v>506</v>
      </c>
      <c r="B119" s="203" t="s">
        <v>514</v>
      </c>
      <c r="C119" s="203" t="s">
        <v>508</v>
      </c>
      <c r="D119" s="27">
        <v>0</v>
      </c>
      <c r="E119" s="28">
        <v>1000000000</v>
      </c>
      <c r="F119" s="203">
        <v>0</v>
      </c>
      <c r="G119" s="203">
        <v>25</v>
      </c>
      <c r="H119" s="203">
        <v>1</v>
      </c>
      <c r="K119" s="203" t="s">
        <v>297</v>
      </c>
      <c r="L119" s="203" t="s">
        <v>442</v>
      </c>
      <c r="M119" s="31">
        <v>567</v>
      </c>
      <c r="N119" s="31"/>
      <c r="O119" s="31">
        <v>2013</v>
      </c>
      <c r="P119" s="203"/>
      <c r="Q119" s="208" t="s">
        <v>337</v>
      </c>
      <c r="R119" s="208" t="s">
        <v>180</v>
      </c>
      <c r="S119" s="208" t="s">
        <v>353</v>
      </c>
      <c r="T119" s="208" t="s">
        <v>179</v>
      </c>
      <c r="U119" s="208" t="s">
        <v>344</v>
      </c>
      <c r="V119" s="208" t="s">
        <v>713</v>
      </c>
      <c r="W119" s="208" t="s">
        <v>356</v>
      </c>
      <c r="X119" s="208"/>
      <c r="Y119" s="208"/>
      <c r="AA119" s="208">
        <v>1</v>
      </c>
      <c r="AB119" s="208">
        <v>1.2</v>
      </c>
      <c r="AC119" s="208">
        <v>2</v>
      </c>
      <c r="AD119" s="208">
        <v>2.5</v>
      </c>
      <c r="AE119" s="208">
        <v>2.7</v>
      </c>
      <c r="AF119" s="208">
        <v>3</v>
      </c>
      <c r="AG119" s="208">
        <v>6</v>
      </c>
      <c r="AH119" s="203"/>
      <c r="AI119" s="203"/>
      <c r="AK119" s="203" t="s">
        <v>162</v>
      </c>
      <c r="AL119" s="203">
        <v>1</v>
      </c>
      <c r="AM119" s="27">
        <v>0.1</v>
      </c>
      <c r="AN119" s="203" t="s">
        <v>511</v>
      </c>
    </row>
    <row r="121" spans="1:40">
      <c r="B121" t="s">
        <v>776</v>
      </c>
    </row>
    <row r="122" spans="1:40">
      <c r="A122" t="s">
        <v>987</v>
      </c>
      <c r="B122" t="s">
        <v>515</v>
      </c>
      <c r="C122" t="s">
        <v>462</v>
      </c>
      <c r="D122" s="203">
        <v>10</v>
      </c>
      <c r="E122" s="203">
        <v>56</v>
      </c>
      <c r="F122">
        <v>0</v>
      </c>
      <c r="G122">
        <v>2041</v>
      </c>
      <c r="H122">
        <v>0.57999999999999996</v>
      </c>
      <c r="K122" s="203" t="s">
        <v>297</v>
      </c>
      <c r="L122" s="203" t="s">
        <v>442</v>
      </c>
      <c r="M122" s="31">
        <v>567</v>
      </c>
      <c r="N122" s="31"/>
      <c r="O122" s="31">
        <v>2013</v>
      </c>
      <c r="P122" s="208" t="s">
        <v>337</v>
      </c>
      <c r="Q122" s="208" t="s">
        <v>337</v>
      </c>
      <c r="R122" s="208" t="s">
        <v>180</v>
      </c>
      <c r="S122" s="208" t="s">
        <v>353</v>
      </c>
      <c r="T122" s="208" t="s">
        <v>179</v>
      </c>
      <c r="U122" s="208" t="s">
        <v>344</v>
      </c>
      <c r="V122" s="208" t="s">
        <v>713</v>
      </c>
      <c r="W122" s="208" t="s">
        <v>356</v>
      </c>
      <c r="X122" s="208"/>
      <c r="Y122" s="208"/>
      <c r="AA122" s="208">
        <v>1</v>
      </c>
      <c r="AB122" s="208">
        <v>1.2</v>
      </c>
      <c r="AC122" s="208">
        <v>2</v>
      </c>
      <c r="AD122" s="208">
        <v>2.5</v>
      </c>
      <c r="AE122" s="208">
        <v>2.7</v>
      </c>
      <c r="AF122" s="208">
        <v>3</v>
      </c>
      <c r="AG122" s="208">
        <v>6</v>
      </c>
      <c r="AH122" s="203"/>
      <c r="AI122" s="203"/>
      <c r="AK122" s="203" t="s">
        <v>162</v>
      </c>
      <c r="AL122" s="27">
        <v>1.4</v>
      </c>
      <c r="AM122" s="1">
        <v>0.2</v>
      </c>
      <c r="AN122" s="203"/>
    </row>
    <row r="123" spans="1:40">
      <c r="A123" s="295" t="s">
        <v>987</v>
      </c>
      <c r="B123" t="s">
        <v>516</v>
      </c>
      <c r="C123" s="206" t="s">
        <v>462</v>
      </c>
      <c r="D123">
        <v>20</v>
      </c>
      <c r="E123">
        <v>380</v>
      </c>
      <c r="F123">
        <v>0</v>
      </c>
      <c r="G123">
        <v>18705</v>
      </c>
      <c r="H123">
        <v>0.6</v>
      </c>
      <c r="K123" s="203" t="s">
        <v>297</v>
      </c>
      <c r="L123" s="203" t="s">
        <v>442</v>
      </c>
      <c r="M123" s="31">
        <v>567</v>
      </c>
      <c r="N123" s="31"/>
      <c r="O123" s="31">
        <v>2013</v>
      </c>
      <c r="P123" s="208" t="s">
        <v>337</v>
      </c>
      <c r="Q123" s="208" t="s">
        <v>337</v>
      </c>
      <c r="R123" s="208" t="s">
        <v>180</v>
      </c>
      <c r="S123" s="208" t="s">
        <v>353</v>
      </c>
      <c r="T123" s="208" t="s">
        <v>179</v>
      </c>
      <c r="U123" s="208" t="s">
        <v>344</v>
      </c>
      <c r="V123" s="208" t="s">
        <v>713</v>
      </c>
      <c r="W123" s="208" t="s">
        <v>356</v>
      </c>
      <c r="X123" s="208"/>
      <c r="Y123" s="208"/>
      <c r="AA123" s="208">
        <v>1</v>
      </c>
      <c r="AB123" s="208">
        <v>1.2</v>
      </c>
      <c r="AC123" s="208">
        <v>2</v>
      </c>
      <c r="AD123" s="208">
        <v>2.5</v>
      </c>
      <c r="AE123" s="208">
        <v>2.7</v>
      </c>
      <c r="AF123" s="208">
        <v>3</v>
      </c>
      <c r="AG123" s="208">
        <v>6</v>
      </c>
      <c r="AH123" s="203"/>
      <c r="AI123" s="203"/>
      <c r="AK123" s="208" t="s">
        <v>162</v>
      </c>
      <c r="AL123" s="27">
        <v>1.4</v>
      </c>
      <c r="AM123" s="1">
        <v>0.2</v>
      </c>
      <c r="AN123" s="203"/>
    </row>
    <row r="124" spans="1:40">
      <c r="A124" s="295" t="s">
        <v>987</v>
      </c>
      <c r="B124" t="s">
        <v>517</v>
      </c>
      <c r="C124" s="206" t="s">
        <v>462</v>
      </c>
      <c r="D124">
        <v>10</v>
      </c>
      <c r="E124">
        <v>380</v>
      </c>
      <c r="F124">
        <v>0</v>
      </c>
      <c r="G124">
        <v>15875</v>
      </c>
      <c r="H124">
        <v>0.56000000000000005</v>
      </c>
      <c r="K124" s="203" t="s">
        <v>297</v>
      </c>
      <c r="L124" s="203" t="s">
        <v>442</v>
      </c>
      <c r="M124" s="31">
        <v>567</v>
      </c>
      <c r="N124" s="31"/>
      <c r="O124" s="31">
        <v>2013</v>
      </c>
      <c r="P124" s="208" t="s">
        <v>337</v>
      </c>
      <c r="Q124" s="208" t="s">
        <v>337</v>
      </c>
      <c r="R124" s="208" t="s">
        <v>180</v>
      </c>
      <c r="S124" s="208" t="s">
        <v>353</v>
      </c>
      <c r="T124" s="208" t="s">
        <v>179</v>
      </c>
      <c r="U124" s="208" t="s">
        <v>344</v>
      </c>
      <c r="V124" s="208" t="s">
        <v>713</v>
      </c>
      <c r="W124" s="208" t="s">
        <v>356</v>
      </c>
      <c r="X124" s="208"/>
      <c r="Y124" s="208"/>
      <c r="AA124" s="208">
        <v>1</v>
      </c>
      <c r="AB124" s="208">
        <v>1.2</v>
      </c>
      <c r="AC124" s="208">
        <v>2</v>
      </c>
      <c r="AD124" s="208">
        <v>2.5</v>
      </c>
      <c r="AE124" s="208">
        <v>2.7</v>
      </c>
      <c r="AF124" s="208">
        <v>3</v>
      </c>
      <c r="AG124" s="208">
        <v>6</v>
      </c>
      <c r="AH124" s="203"/>
      <c r="AI124" s="203"/>
      <c r="AK124" s="208" t="s">
        <v>162</v>
      </c>
      <c r="AL124" s="27">
        <v>1.4</v>
      </c>
      <c r="AM124" s="1">
        <v>0.2</v>
      </c>
      <c r="AN124" s="203"/>
    </row>
    <row r="125" spans="1:40">
      <c r="A125" s="295" t="s">
        <v>987</v>
      </c>
      <c r="B125" t="s">
        <v>518</v>
      </c>
      <c r="C125" s="206" t="s">
        <v>462</v>
      </c>
      <c r="D125">
        <v>25</v>
      </c>
      <c r="E125">
        <v>320</v>
      </c>
      <c r="F125">
        <v>0</v>
      </c>
      <c r="G125">
        <v>2438</v>
      </c>
      <c r="H125">
        <v>0.6</v>
      </c>
      <c r="K125" s="203" t="s">
        <v>297</v>
      </c>
      <c r="L125" s="203" t="s">
        <v>442</v>
      </c>
      <c r="M125" s="31">
        <v>567</v>
      </c>
      <c r="N125" s="31"/>
      <c r="O125" s="31">
        <v>2013</v>
      </c>
      <c r="P125" s="208" t="s">
        <v>337</v>
      </c>
      <c r="Q125" s="208" t="s">
        <v>337</v>
      </c>
      <c r="R125" s="208" t="s">
        <v>180</v>
      </c>
      <c r="S125" s="208" t="s">
        <v>353</v>
      </c>
      <c r="T125" s="208" t="s">
        <v>179</v>
      </c>
      <c r="U125" s="208" t="s">
        <v>344</v>
      </c>
      <c r="V125" s="208" t="s">
        <v>713</v>
      </c>
      <c r="W125" s="208" t="s">
        <v>356</v>
      </c>
      <c r="X125" s="208"/>
      <c r="Y125" s="208"/>
      <c r="AA125" s="208">
        <v>1</v>
      </c>
      <c r="AB125" s="208">
        <v>1.2</v>
      </c>
      <c r="AC125" s="208">
        <v>2</v>
      </c>
      <c r="AD125" s="208">
        <v>2.5</v>
      </c>
      <c r="AE125" s="208">
        <v>2.7</v>
      </c>
      <c r="AF125" s="208">
        <v>3</v>
      </c>
      <c r="AG125" s="208">
        <v>6</v>
      </c>
      <c r="AH125" s="203"/>
      <c r="AI125" s="203"/>
      <c r="AK125" s="208" t="s">
        <v>162</v>
      </c>
      <c r="AL125" s="27">
        <v>1.4</v>
      </c>
      <c r="AM125" s="1">
        <v>0.2</v>
      </c>
      <c r="AN125" s="203"/>
    </row>
    <row r="126" spans="1:40">
      <c r="A126" s="295" t="s">
        <v>987</v>
      </c>
      <c r="B126" t="s">
        <v>519</v>
      </c>
      <c r="C126" s="206" t="s">
        <v>462</v>
      </c>
      <c r="D126">
        <v>50</v>
      </c>
      <c r="E126">
        <v>270</v>
      </c>
      <c r="F126">
        <v>0</v>
      </c>
      <c r="G126">
        <v>3856</v>
      </c>
      <c r="H126">
        <v>0.42</v>
      </c>
      <c r="K126" s="203" t="s">
        <v>297</v>
      </c>
      <c r="L126" s="203" t="s">
        <v>442</v>
      </c>
      <c r="M126" s="31">
        <v>567</v>
      </c>
      <c r="N126" s="31"/>
      <c r="O126" s="31">
        <v>2013</v>
      </c>
      <c r="P126" s="208" t="s">
        <v>337</v>
      </c>
      <c r="Q126" s="208" t="s">
        <v>337</v>
      </c>
      <c r="R126" s="208" t="s">
        <v>180</v>
      </c>
      <c r="S126" s="208" t="s">
        <v>353</v>
      </c>
      <c r="T126" s="208" t="s">
        <v>179</v>
      </c>
      <c r="U126" s="208" t="s">
        <v>344</v>
      </c>
      <c r="V126" s="208" t="s">
        <v>713</v>
      </c>
      <c r="W126" s="208" t="s">
        <v>356</v>
      </c>
      <c r="X126" s="208"/>
      <c r="Y126" s="208"/>
      <c r="AA126" s="208">
        <v>1</v>
      </c>
      <c r="AB126" s="208">
        <v>1.2</v>
      </c>
      <c r="AC126" s="208">
        <v>2</v>
      </c>
      <c r="AD126" s="208">
        <v>2.5</v>
      </c>
      <c r="AE126" s="208">
        <v>2.7</v>
      </c>
      <c r="AF126" s="208">
        <v>3</v>
      </c>
      <c r="AG126" s="208">
        <v>6</v>
      </c>
      <c r="AH126" s="203"/>
      <c r="AI126" s="203"/>
      <c r="AK126" s="208" t="s">
        <v>162</v>
      </c>
      <c r="AL126" s="27">
        <v>1.4</v>
      </c>
      <c r="AM126" s="1">
        <v>0.2</v>
      </c>
      <c r="AN126" s="203"/>
    </row>
    <row r="127" spans="1:40">
      <c r="A127" s="295" t="s">
        <v>987</v>
      </c>
      <c r="B127" t="s">
        <v>520</v>
      </c>
      <c r="C127" s="206" t="s">
        <v>462</v>
      </c>
      <c r="D127">
        <v>35</v>
      </c>
      <c r="E127">
        <v>330</v>
      </c>
      <c r="F127">
        <v>0</v>
      </c>
      <c r="G127">
        <v>1700</v>
      </c>
      <c r="H127">
        <v>0.6</v>
      </c>
      <c r="K127" s="203" t="s">
        <v>297</v>
      </c>
      <c r="L127" s="203" t="s">
        <v>442</v>
      </c>
      <c r="M127" s="31">
        <v>567</v>
      </c>
      <c r="N127" s="31"/>
      <c r="O127" s="31">
        <v>2013</v>
      </c>
      <c r="P127" s="208" t="s">
        <v>337</v>
      </c>
      <c r="Q127" s="208" t="s">
        <v>337</v>
      </c>
      <c r="R127" s="208" t="s">
        <v>180</v>
      </c>
      <c r="S127" s="208" t="s">
        <v>353</v>
      </c>
      <c r="T127" s="208" t="s">
        <v>179</v>
      </c>
      <c r="U127" s="208" t="s">
        <v>344</v>
      </c>
      <c r="V127" s="208" t="s">
        <v>713</v>
      </c>
      <c r="W127" s="208" t="s">
        <v>356</v>
      </c>
      <c r="X127" s="208"/>
      <c r="Y127" s="208"/>
      <c r="AA127" s="208">
        <v>1</v>
      </c>
      <c r="AB127" s="208">
        <v>1.2</v>
      </c>
      <c r="AC127" s="208">
        <v>2</v>
      </c>
      <c r="AD127" s="208">
        <v>2.5</v>
      </c>
      <c r="AE127" s="208">
        <v>2.7</v>
      </c>
      <c r="AF127" s="208">
        <v>3</v>
      </c>
      <c r="AG127" s="208">
        <v>6</v>
      </c>
      <c r="AH127" s="203"/>
      <c r="AI127" s="203"/>
      <c r="AK127" s="208" t="s">
        <v>162</v>
      </c>
      <c r="AL127" s="27">
        <v>1.4</v>
      </c>
      <c r="AM127" s="1">
        <v>0.2</v>
      </c>
      <c r="AN127" s="203"/>
    </row>
    <row r="128" spans="1:40">
      <c r="K128" s="203"/>
      <c r="L128" s="203"/>
      <c r="M128" s="203"/>
      <c r="N128" s="203"/>
      <c r="O128" s="203"/>
      <c r="P128" s="208"/>
      <c r="Q128" s="203"/>
      <c r="R128" s="203"/>
      <c r="S128" s="203"/>
      <c r="T128" s="203"/>
      <c r="U128" s="203"/>
      <c r="V128" s="203"/>
      <c r="W128" s="203"/>
      <c r="X128" s="203"/>
      <c r="Y128" s="203"/>
      <c r="AA128" s="203"/>
      <c r="AB128" s="203"/>
      <c r="AC128" s="203"/>
      <c r="AD128" s="203"/>
      <c r="AE128" s="203"/>
      <c r="AF128" s="203"/>
      <c r="AG128" s="203"/>
      <c r="AH128" s="203"/>
      <c r="AI128" s="203"/>
      <c r="AK128" s="203"/>
      <c r="AL128" s="203"/>
      <c r="AM128" s="203"/>
      <c r="AN128" s="203"/>
    </row>
    <row r="129" spans="1:44" s="29" customFormat="1">
      <c r="B129" s="29" t="s">
        <v>742</v>
      </c>
      <c r="I129" s="207"/>
      <c r="J129" s="207"/>
      <c r="R129" s="30"/>
      <c r="S129" s="30"/>
      <c r="T129" s="30"/>
      <c r="U129" s="30"/>
      <c r="V129" s="30"/>
      <c r="W129" s="30"/>
      <c r="X129" s="30"/>
      <c r="Y129" s="30"/>
      <c r="Z129" s="208"/>
      <c r="AA129" s="30"/>
      <c r="AB129" s="30"/>
      <c r="AC129" s="30"/>
      <c r="AD129" s="30"/>
      <c r="AE129" s="30"/>
      <c r="AF129" s="30"/>
      <c r="AG129" s="30"/>
      <c r="AH129" s="30"/>
      <c r="AI129" s="30"/>
      <c r="AJ129" s="208"/>
      <c r="AL129" s="30"/>
      <c r="AM129" s="30"/>
      <c r="AR129" s="217"/>
    </row>
    <row r="130" spans="1:44" s="29" customFormat="1">
      <c r="A130" s="29" t="s">
        <v>742</v>
      </c>
      <c r="B130" s="29" t="s">
        <v>224</v>
      </c>
      <c r="C130" s="29" t="s">
        <v>225</v>
      </c>
      <c r="D130" s="29">
        <v>5</v>
      </c>
      <c r="E130" s="29">
        <v>75</v>
      </c>
      <c r="F130" s="29">
        <v>17000</v>
      </c>
      <c r="G130" s="29">
        <v>1130</v>
      </c>
      <c r="H130" s="29">
        <v>1.05</v>
      </c>
      <c r="I130" s="207"/>
      <c r="J130" s="207"/>
      <c r="K130" s="29" t="s">
        <v>297</v>
      </c>
      <c r="L130" s="200" t="s">
        <v>443</v>
      </c>
      <c r="M130" s="29">
        <v>532.9</v>
      </c>
      <c r="N130" s="29">
        <v>2281.6</v>
      </c>
      <c r="O130" s="29">
        <v>2010</v>
      </c>
      <c r="Q130" s="31" t="s">
        <v>337</v>
      </c>
      <c r="R130" s="31" t="s">
        <v>338</v>
      </c>
      <c r="S130" s="31" t="s">
        <v>339</v>
      </c>
      <c r="T130" s="31" t="s">
        <v>340</v>
      </c>
      <c r="U130" s="31" t="s">
        <v>341</v>
      </c>
      <c r="V130" s="31" t="s">
        <v>342</v>
      </c>
      <c r="W130" s="31" t="s">
        <v>343</v>
      </c>
      <c r="X130" s="31" t="s">
        <v>344</v>
      </c>
      <c r="Y130" s="31" t="s">
        <v>345</v>
      </c>
      <c r="Z130" s="31"/>
      <c r="AA130" s="31">
        <v>1</v>
      </c>
      <c r="AB130" s="31">
        <v>1.07</v>
      </c>
      <c r="AC130" s="31">
        <v>1.1000000000000001</v>
      </c>
      <c r="AD130" s="31">
        <v>1.3</v>
      </c>
      <c r="AE130" s="31">
        <v>1.3</v>
      </c>
      <c r="AF130" s="31">
        <v>1.5</v>
      </c>
      <c r="AG130" s="31">
        <v>1.55</v>
      </c>
      <c r="AH130" s="31">
        <v>1.65</v>
      </c>
      <c r="AI130" s="31">
        <v>1.7</v>
      </c>
      <c r="AJ130" s="31"/>
      <c r="AK130" s="29" t="s">
        <v>162</v>
      </c>
      <c r="AL130" s="27">
        <v>1.4</v>
      </c>
      <c r="AM130" s="1">
        <v>0.2</v>
      </c>
      <c r="AR130" s="217"/>
    </row>
    <row r="131" spans="1:44" s="29" customFormat="1">
      <c r="A131" s="295" t="s">
        <v>742</v>
      </c>
      <c r="B131" s="29" t="s">
        <v>226</v>
      </c>
      <c r="C131" s="29" t="s">
        <v>225</v>
      </c>
      <c r="D131" s="29">
        <v>5</v>
      </c>
      <c r="E131" s="29">
        <v>35</v>
      </c>
      <c r="F131" s="29">
        <v>30800</v>
      </c>
      <c r="G131" s="29">
        <v>125</v>
      </c>
      <c r="H131" s="29">
        <v>2</v>
      </c>
      <c r="I131" s="207"/>
      <c r="J131" s="207"/>
      <c r="K131" s="29" t="s">
        <v>297</v>
      </c>
      <c r="L131" s="200" t="s">
        <v>443</v>
      </c>
      <c r="M131" s="29">
        <v>532.9</v>
      </c>
      <c r="N131" s="29">
        <v>2281.6</v>
      </c>
      <c r="O131" s="29">
        <v>2010</v>
      </c>
      <c r="Q131" s="31" t="s">
        <v>337</v>
      </c>
      <c r="R131" s="31" t="s">
        <v>338</v>
      </c>
      <c r="S131" s="31" t="s">
        <v>339</v>
      </c>
      <c r="T131" s="31" t="s">
        <v>340</v>
      </c>
      <c r="U131" s="31" t="s">
        <v>341</v>
      </c>
      <c r="V131" s="31" t="s">
        <v>342</v>
      </c>
      <c r="W131" s="31" t="s">
        <v>343</v>
      </c>
      <c r="X131" s="31" t="s">
        <v>344</v>
      </c>
      <c r="Y131" s="31" t="s">
        <v>345</v>
      </c>
      <c r="Z131" s="31"/>
      <c r="AA131" s="31">
        <v>1</v>
      </c>
      <c r="AB131" s="31">
        <v>1.07</v>
      </c>
      <c r="AC131" s="31">
        <v>1.1000000000000001</v>
      </c>
      <c r="AD131" s="31">
        <v>1.3</v>
      </c>
      <c r="AE131" s="31">
        <v>1.3</v>
      </c>
      <c r="AF131" s="31">
        <v>1.5</v>
      </c>
      <c r="AG131" s="31">
        <v>1.55</v>
      </c>
      <c r="AH131" s="31">
        <v>1.65</v>
      </c>
      <c r="AI131" s="31">
        <v>1.7</v>
      </c>
      <c r="AJ131" s="31"/>
      <c r="AK131" s="29" t="s">
        <v>162</v>
      </c>
      <c r="AL131" s="27">
        <v>1.4</v>
      </c>
      <c r="AM131" s="1">
        <v>0.2</v>
      </c>
      <c r="AR131" s="217"/>
    </row>
    <row r="132" spans="1:44" s="29" customFormat="1">
      <c r="A132" s="295" t="s">
        <v>742</v>
      </c>
      <c r="B132" s="29" t="s">
        <v>227</v>
      </c>
      <c r="C132" s="29" t="s">
        <v>228</v>
      </c>
      <c r="D132" s="29">
        <v>1</v>
      </c>
      <c r="E132" s="29">
        <v>50</v>
      </c>
      <c r="F132" s="29">
        <v>570</v>
      </c>
      <c r="G132" s="29">
        <v>1170</v>
      </c>
      <c r="H132" s="29">
        <v>0.4</v>
      </c>
      <c r="I132" s="207"/>
      <c r="J132" s="207"/>
      <c r="K132" s="29" t="s">
        <v>297</v>
      </c>
      <c r="L132" s="200" t="s">
        <v>443</v>
      </c>
      <c r="M132" s="29">
        <v>532.9</v>
      </c>
      <c r="N132" s="29">
        <v>2281.6</v>
      </c>
      <c r="O132" s="29">
        <v>2010</v>
      </c>
      <c r="Q132" s="31" t="s">
        <v>337</v>
      </c>
      <c r="R132" s="31" t="s">
        <v>338</v>
      </c>
      <c r="S132" s="31" t="s">
        <v>339</v>
      </c>
      <c r="T132" s="31" t="s">
        <v>340</v>
      </c>
      <c r="U132" s="31" t="s">
        <v>341</v>
      </c>
      <c r="V132" s="31" t="s">
        <v>342</v>
      </c>
      <c r="W132" s="31" t="s">
        <v>343</v>
      </c>
      <c r="X132" s="31" t="s">
        <v>344</v>
      </c>
      <c r="Y132" s="31" t="s">
        <v>345</v>
      </c>
      <c r="Z132" s="31"/>
      <c r="AA132" s="31">
        <v>1</v>
      </c>
      <c r="AB132" s="31">
        <v>1.07</v>
      </c>
      <c r="AC132" s="31">
        <v>1.1000000000000001</v>
      </c>
      <c r="AD132" s="31">
        <v>1.3</v>
      </c>
      <c r="AE132" s="31">
        <v>1.3</v>
      </c>
      <c r="AF132" s="31">
        <v>1.5</v>
      </c>
      <c r="AG132" s="31">
        <v>1.55</v>
      </c>
      <c r="AH132" s="31">
        <v>1.65</v>
      </c>
      <c r="AI132" s="31">
        <v>1.7</v>
      </c>
      <c r="AJ132" s="31"/>
      <c r="AK132" s="29" t="s">
        <v>162</v>
      </c>
      <c r="AL132" s="27">
        <v>1.4</v>
      </c>
      <c r="AM132" s="1">
        <v>0.2</v>
      </c>
      <c r="AR132" s="217"/>
    </row>
    <row r="133" spans="1:44" s="29" customFormat="1">
      <c r="I133" s="207"/>
      <c r="J133" s="207"/>
      <c r="R133" s="30"/>
      <c r="S133" s="30"/>
      <c r="T133" s="30"/>
      <c r="U133" s="30"/>
      <c r="V133" s="30"/>
      <c r="W133" s="30"/>
      <c r="X133" s="30"/>
      <c r="Y133" s="30"/>
      <c r="Z133" s="208"/>
      <c r="AA133" s="30"/>
      <c r="AB133" s="30"/>
      <c r="AC133" s="30"/>
      <c r="AD133" s="30"/>
      <c r="AE133" s="30"/>
      <c r="AF133" s="30"/>
      <c r="AG133" s="30"/>
      <c r="AH133" s="30"/>
      <c r="AI133" s="30"/>
      <c r="AJ133" s="208"/>
      <c r="AL133" s="30"/>
      <c r="AM133" s="30"/>
      <c r="AR133" s="217"/>
    </row>
    <row r="134" spans="1:44" s="313" customFormat="1">
      <c r="B134" s="313" t="s">
        <v>1018</v>
      </c>
      <c r="Q134" s="31"/>
      <c r="R134" s="31"/>
      <c r="S134" s="31"/>
      <c r="T134" s="31"/>
      <c r="U134" s="31"/>
      <c r="V134" s="31"/>
      <c r="W134" s="31"/>
      <c r="X134" s="31"/>
      <c r="Y134" s="31"/>
      <c r="Z134" s="31"/>
      <c r="AA134" s="31"/>
      <c r="AB134" s="31"/>
      <c r="AC134" s="31"/>
      <c r="AD134" s="31"/>
      <c r="AE134" s="31"/>
      <c r="AF134" s="31"/>
      <c r="AG134" s="31"/>
      <c r="AH134" s="31"/>
      <c r="AI134" s="31"/>
      <c r="AJ134" s="31"/>
      <c r="AL134" s="27"/>
      <c r="AM134" s="1"/>
    </row>
    <row r="135" spans="1:44" s="313" customFormat="1">
      <c r="A135" s="313" t="s">
        <v>1019</v>
      </c>
      <c r="B135" s="313" t="s">
        <v>1015</v>
      </c>
      <c r="C135" s="313" t="s">
        <v>813</v>
      </c>
      <c r="D135" s="313">
        <v>1</v>
      </c>
      <c r="E135" s="313">
        <v>1</v>
      </c>
      <c r="F135" s="313">
        <v>68</v>
      </c>
      <c r="G135" s="313">
        <v>0</v>
      </c>
      <c r="H135" s="313">
        <v>0</v>
      </c>
      <c r="K135" s="313" t="s">
        <v>297</v>
      </c>
      <c r="L135" s="313" t="s">
        <v>1020</v>
      </c>
      <c r="O135" s="313">
        <v>2017</v>
      </c>
      <c r="Q135" s="31" t="s">
        <v>1016</v>
      </c>
      <c r="R135" s="31"/>
      <c r="S135" s="31"/>
      <c r="T135" s="31"/>
      <c r="U135" s="31"/>
      <c r="V135" s="31"/>
      <c r="W135" s="31"/>
      <c r="X135" s="31"/>
      <c r="Y135" s="31"/>
      <c r="Z135" s="31"/>
      <c r="AA135" s="31">
        <v>1</v>
      </c>
      <c r="AB135" s="31"/>
      <c r="AC135" s="31"/>
      <c r="AD135" s="31"/>
      <c r="AE135" s="31"/>
      <c r="AF135" s="31"/>
      <c r="AG135" s="31"/>
      <c r="AH135" s="31"/>
      <c r="AI135" s="31"/>
      <c r="AJ135" s="31"/>
      <c r="AL135" s="27">
        <v>1</v>
      </c>
      <c r="AM135" s="1">
        <v>0.125</v>
      </c>
    </row>
    <row r="136" spans="1:44" s="313" customFormat="1">
      <c r="A136" s="313" t="s">
        <v>1019</v>
      </c>
      <c r="B136" s="313" t="s">
        <v>1017</v>
      </c>
      <c r="C136" s="313" t="s">
        <v>813</v>
      </c>
      <c r="D136" s="313">
        <v>1</v>
      </c>
      <c r="E136" s="313">
        <v>1</v>
      </c>
      <c r="F136" s="313">
        <v>2500</v>
      </c>
      <c r="G136" s="313">
        <v>0</v>
      </c>
      <c r="H136" s="313">
        <v>0</v>
      </c>
      <c r="K136" s="313" t="s">
        <v>297</v>
      </c>
      <c r="O136" s="313">
        <v>2017</v>
      </c>
      <c r="Q136" s="31" t="s">
        <v>785</v>
      </c>
      <c r="R136" s="31"/>
      <c r="S136" s="31"/>
      <c r="T136" s="31"/>
      <c r="U136" s="31"/>
      <c r="V136" s="31"/>
      <c r="W136" s="31"/>
      <c r="X136" s="31"/>
      <c r="Y136" s="31"/>
      <c r="Z136" s="31"/>
      <c r="AA136" s="31">
        <v>1</v>
      </c>
      <c r="AB136" s="31"/>
      <c r="AC136" s="31"/>
      <c r="AD136" s="31"/>
      <c r="AE136" s="31"/>
      <c r="AF136" s="31"/>
      <c r="AG136" s="31"/>
      <c r="AH136" s="31"/>
      <c r="AI136" s="31"/>
      <c r="AJ136" s="31"/>
      <c r="AL136" s="27">
        <v>1</v>
      </c>
      <c r="AM136" s="1">
        <v>0</v>
      </c>
    </row>
    <row r="137" spans="1:44" s="313" customFormat="1">
      <c r="Q137" s="31"/>
      <c r="R137" s="31"/>
      <c r="S137" s="31"/>
      <c r="T137" s="31"/>
      <c r="U137" s="31"/>
      <c r="V137" s="31"/>
      <c r="W137" s="31"/>
      <c r="X137" s="31"/>
      <c r="Y137" s="31"/>
      <c r="Z137" s="31"/>
      <c r="AA137" s="31"/>
      <c r="AB137" s="31"/>
      <c r="AC137" s="31"/>
      <c r="AD137" s="31"/>
      <c r="AE137" s="31"/>
      <c r="AF137" s="31"/>
      <c r="AG137" s="31"/>
      <c r="AH137" s="31"/>
      <c r="AI137" s="31"/>
      <c r="AJ137" s="31"/>
      <c r="AL137" s="27"/>
      <c r="AM137" s="1"/>
    </row>
    <row r="138" spans="1:44" s="216" customFormat="1">
      <c r="B138" s="216" t="s">
        <v>798</v>
      </c>
      <c r="AR138" s="217"/>
    </row>
    <row r="139" spans="1:44" s="216" customFormat="1">
      <c r="A139" s="295" t="s">
        <v>798</v>
      </c>
      <c r="B139" s="216" t="s">
        <v>814</v>
      </c>
      <c r="C139" s="216" t="s">
        <v>813</v>
      </c>
      <c r="D139" s="27">
        <v>1</v>
      </c>
      <c r="E139" s="27">
        <v>1</v>
      </c>
      <c r="F139" s="216">
        <v>18000</v>
      </c>
      <c r="G139" s="216">
        <v>0</v>
      </c>
      <c r="H139" s="216">
        <v>0</v>
      </c>
      <c r="K139" s="216" t="s">
        <v>297</v>
      </c>
      <c r="L139" s="216" t="s">
        <v>812</v>
      </c>
      <c r="O139" s="216">
        <v>2017</v>
      </c>
      <c r="Q139" s="31" t="s">
        <v>785</v>
      </c>
      <c r="AA139" s="31">
        <v>1</v>
      </c>
      <c r="AL139" s="27">
        <v>1</v>
      </c>
      <c r="AM139" s="216">
        <v>0.25</v>
      </c>
      <c r="AN139" s="216" t="s">
        <v>815</v>
      </c>
      <c r="AR139" s="217"/>
    </row>
    <row r="140" spans="1:44" s="216" customFormat="1">
      <c r="A140" s="295" t="s">
        <v>798</v>
      </c>
      <c r="B140" s="216" t="s">
        <v>799</v>
      </c>
      <c r="C140" s="216" t="s">
        <v>813</v>
      </c>
      <c r="D140" s="27">
        <v>1</v>
      </c>
      <c r="E140" s="27">
        <v>1</v>
      </c>
      <c r="F140" s="216">
        <v>92.01</v>
      </c>
      <c r="G140" s="216">
        <v>0</v>
      </c>
      <c r="H140" s="216">
        <v>0</v>
      </c>
      <c r="K140" s="216" t="s">
        <v>297</v>
      </c>
      <c r="L140" s="216" t="s">
        <v>812</v>
      </c>
      <c r="O140" s="216">
        <v>2017</v>
      </c>
      <c r="Q140" s="31" t="s">
        <v>785</v>
      </c>
      <c r="AA140" s="31">
        <v>1</v>
      </c>
      <c r="AL140" s="27">
        <v>1</v>
      </c>
      <c r="AM140" s="216">
        <v>0</v>
      </c>
      <c r="AN140" s="218" t="str">
        <f>HYPERLINK("https://www.idex-hs.com/check-valve-inline-assembly.html?optionvalue=6540","IDEX check valve")</f>
        <v>IDEX check valve</v>
      </c>
      <c r="AR140" s="217"/>
    </row>
    <row r="141" spans="1:44" s="216" customFormat="1">
      <c r="A141" s="295" t="s">
        <v>798</v>
      </c>
      <c r="B141" s="216" t="s">
        <v>800</v>
      </c>
      <c r="C141" s="216" t="s">
        <v>813</v>
      </c>
      <c r="D141" s="27">
        <v>1</v>
      </c>
      <c r="E141" s="27">
        <v>1</v>
      </c>
      <c r="F141" s="216">
        <v>60.16</v>
      </c>
      <c r="G141" s="216">
        <v>0</v>
      </c>
      <c r="H141" s="216">
        <v>0</v>
      </c>
      <c r="K141" s="216" t="s">
        <v>297</v>
      </c>
      <c r="L141" s="216" t="s">
        <v>812</v>
      </c>
      <c r="O141" s="216">
        <v>2017</v>
      </c>
      <c r="Q141" s="31" t="s">
        <v>785</v>
      </c>
      <c r="AA141" s="31">
        <v>1</v>
      </c>
      <c r="AL141" s="27">
        <v>1</v>
      </c>
      <c r="AM141" s="216">
        <v>0</v>
      </c>
      <c r="AN141" s="218" t="str">
        <f>HYPERLINK("https://www.idex-hs.com/micro-metering-valve-assembly-1-4-28-flat-bottom-for-1-16-od.html?optionvalue=6540","IDEX micro metering valve")</f>
        <v>IDEX micro metering valve</v>
      </c>
      <c r="AR141" s="217"/>
    </row>
    <row r="142" spans="1:44" s="216" customFormat="1">
      <c r="A142" s="295" t="s">
        <v>798</v>
      </c>
      <c r="B142" s="216" t="s">
        <v>801</v>
      </c>
      <c r="C142" s="216" t="s">
        <v>813</v>
      </c>
      <c r="D142" s="27">
        <v>1</v>
      </c>
      <c r="E142" s="27">
        <v>1</v>
      </c>
      <c r="F142" s="216">
        <v>98.49</v>
      </c>
      <c r="G142" s="216">
        <v>0</v>
      </c>
      <c r="H142" s="216">
        <v>0</v>
      </c>
      <c r="K142" s="216" t="s">
        <v>297</v>
      </c>
      <c r="L142" s="216" t="s">
        <v>812</v>
      </c>
      <c r="O142" s="216">
        <v>2017</v>
      </c>
      <c r="Q142" s="31" t="s">
        <v>785</v>
      </c>
      <c r="AA142" s="31">
        <v>1</v>
      </c>
      <c r="AL142" s="27">
        <v>1</v>
      </c>
      <c r="AM142" s="216">
        <v>0</v>
      </c>
      <c r="AN142" s="218" t="str">
        <f>HYPERLINK("https://www.idex-hs.com/bpr-assembly-40-psi-biocompatible.html","IDEX BPR assembly 40 psi,")</f>
        <v>IDEX BPR assembly 40 psi,</v>
      </c>
      <c r="AR142" s="217"/>
    </row>
    <row r="143" spans="1:44" s="216" customFormat="1">
      <c r="A143" s="295" t="s">
        <v>798</v>
      </c>
      <c r="B143" s="216" t="s">
        <v>802</v>
      </c>
      <c r="C143" s="216" t="s">
        <v>813</v>
      </c>
      <c r="D143" s="27">
        <v>1</v>
      </c>
      <c r="E143" s="27">
        <v>1</v>
      </c>
      <c r="F143" s="216">
        <v>67.78</v>
      </c>
      <c r="G143" s="216">
        <v>0</v>
      </c>
      <c r="H143" s="216">
        <v>0</v>
      </c>
      <c r="K143" s="216" t="s">
        <v>297</v>
      </c>
      <c r="L143" s="216" t="s">
        <v>812</v>
      </c>
      <c r="O143" s="216">
        <v>2017</v>
      </c>
      <c r="Q143" s="31" t="s">
        <v>785</v>
      </c>
      <c r="AA143" s="31">
        <v>1</v>
      </c>
      <c r="AL143" s="27">
        <v>1</v>
      </c>
      <c r="AM143" s="216">
        <v>0</v>
      </c>
      <c r="AN143" s="218" t="str">
        <f>HYPERLINK("https://www.idex-hs.com/fluidics/valves/back-pressure-regulators/back-pressure-regulator-cartridges/bpr-cartridge-75-psi-gold-coating.html","IDEX BPR cartridge 75 psi.")</f>
        <v>IDEX BPR cartridge 75 psi.</v>
      </c>
      <c r="AR143" s="217"/>
    </row>
    <row r="144" spans="1:44" s="216" customFormat="1">
      <c r="A144" s="295" t="s">
        <v>798</v>
      </c>
      <c r="B144" s="216" t="s">
        <v>803</v>
      </c>
      <c r="C144" s="216" t="s">
        <v>813</v>
      </c>
      <c r="D144" s="27">
        <v>1</v>
      </c>
      <c r="E144" s="27">
        <v>1</v>
      </c>
      <c r="F144" s="216">
        <v>36.799999999999997</v>
      </c>
      <c r="G144" s="216">
        <v>0</v>
      </c>
      <c r="H144" s="216">
        <v>0</v>
      </c>
      <c r="K144" s="216" t="s">
        <v>297</v>
      </c>
      <c r="L144" s="216" t="s">
        <v>812</v>
      </c>
      <c r="O144" s="216">
        <v>2017</v>
      </c>
      <c r="Q144" s="31" t="s">
        <v>785</v>
      </c>
      <c r="AA144" s="31">
        <v>1</v>
      </c>
      <c r="AL144" s="27">
        <v>1</v>
      </c>
      <c r="AM144" s="216">
        <v>0</v>
      </c>
      <c r="AN144" s="218" t="str">
        <f>HYPERLINK("https://www.mcmaster.com/#catalog/123/227/=166m7qu","McMaster 5194K34")</f>
        <v>McMaster 5194K34</v>
      </c>
      <c r="AR144" s="217"/>
    </row>
    <row r="145" spans="1:44" s="216" customFormat="1">
      <c r="A145" s="295" t="s">
        <v>798</v>
      </c>
      <c r="B145" s="216" t="s">
        <v>811</v>
      </c>
      <c r="C145" s="216" t="s">
        <v>813</v>
      </c>
      <c r="D145" s="27">
        <v>1</v>
      </c>
      <c r="E145" s="27">
        <v>1</v>
      </c>
      <c r="F145" s="216">
        <f>105/25</f>
        <v>4.2</v>
      </c>
      <c r="G145" s="216">
        <v>0</v>
      </c>
      <c r="H145" s="216">
        <v>0</v>
      </c>
      <c r="K145" s="216" t="s">
        <v>297</v>
      </c>
      <c r="L145" s="216" t="s">
        <v>812</v>
      </c>
      <c r="O145" s="216">
        <v>2017</v>
      </c>
      <c r="Q145" s="31" t="s">
        <v>785</v>
      </c>
      <c r="AA145" s="31">
        <v>1</v>
      </c>
      <c r="AL145" s="27">
        <v>1</v>
      </c>
      <c r="AM145" s="216">
        <v>0</v>
      </c>
      <c r="AN145" s="218" t="str">
        <f>HYPERLINK("https://www.fishersci.com/shop/products/glass-tubing-7/s37608?searchHijack=true&amp;searchTerm=S37608&amp;searchType=RAPID&amp;matchedCatNo=S37608","FisherScientific S37608 pk of 25")</f>
        <v>FisherScientific S37608 pk of 25</v>
      </c>
      <c r="AR145" s="217"/>
    </row>
    <row r="146" spans="1:44" s="216" customFormat="1">
      <c r="A146" s="295" t="s">
        <v>798</v>
      </c>
      <c r="B146" s="216" t="s">
        <v>804</v>
      </c>
      <c r="C146" s="216" t="s">
        <v>813</v>
      </c>
      <c r="D146" s="27">
        <v>1</v>
      </c>
      <c r="E146" s="27">
        <v>1</v>
      </c>
      <c r="F146" s="216">
        <v>549</v>
      </c>
      <c r="G146" s="216">
        <v>0</v>
      </c>
      <c r="H146" s="216">
        <v>0</v>
      </c>
      <c r="K146" s="216" t="s">
        <v>297</v>
      </c>
      <c r="L146" s="216" t="s">
        <v>812</v>
      </c>
      <c r="O146" s="216">
        <v>2017</v>
      </c>
      <c r="Q146" s="31" t="s">
        <v>785</v>
      </c>
      <c r="AA146" s="31">
        <v>1</v>
      </c>
      <c r="AL146" s="27">
        <v>1</v>
      </c>
      <c r="AM146" s="216">
        <v>0</v>
      </c>
      <c r="AN146" s="218" t="str">
        <f>HYPERLINK("https://www.hitechtrader.com/Temperature/Controller/J-Kem-Temperature-Controller-Model-HCC/88298-p","HiTechTrader Model HCC")</f>
        <v>HiTechTrader Model HCC</v>
      </c>
      <c r="AR146" s="217"/>
    </row>
    <row r="147" spans="1:44" s="216" customFormat="1">
      <c r="A147" s="295" t="s">
        <v>798</v>
      </c>
      <c r="B147" s="216" t="s">
        <v>805</v>
      </c>
      <c r="C147" s="216" t="s">
        <v>813</v>
      </c>
      <c r="D147" s="27">
        <v>1</v>
      </c>
      <c r="E147" s="27">
        <v>1</v>
      </c>
      <c r="F147" s="216">
        <v>955</v>
      </c>
      <c r="G147" s="216">
        <v>0</v>
      </c>
      <c r="H147" s="216">
        <v>0</v>
      </c>
      <c r="K147" s="216" t="s">
        <v>297</v>
      </c>
      <c r="L147" s="216" t="s">
        <v>812</v>
      </c>
      <c r="O147" s="216">
        <v>2017</v>
      </c>
      <c r="Q147" s="31" t="s">
        <v>785</v>
      </c>
      <c r="AA147" s="31">
        <v>1</v>
      </c>
      <c r="AL147" s="27">
        <v>1</v>
      </c>
      <c r="AM147" s="216">
        <v>0</v>
      </c>
      <c r="AN147" s="218" t="str">
        <f>HYPERLINK("http://www.jkem.com/model-210-with-timer-thermocouple-type-k-catalog-210-timer-k","J-Kem Model 210")</f>
        <v>J-Kem Model 210</v>
      </c>
      <c r="AR147" s="217"/>
    </row>
    <row r="148" spans="1:44" s="216" customFormat="1">
      <c r="A148" s="295" t="s">
        <v>798</v>
      </c>
      <c r="B148" s="216" t="s">
        <v>806</v>
      </c>
      <c r="C148" s="216" t="s">
        <v>813</v>
      </c>
      <c r="D148" s="27">
        <v>1</v>
      </c>
      <c r="E148" s="27">
        <v>1</v>
      </c>
      <c r="F148" s="216">
        <v>68</v>
      </c>
      <c r="G148" s="216">
        <v>0</v>
      </c>
      <c r="H148" s="216">
        <v>0</v>
      </c>
      <c r="K148" s="216" t="s">
        <v>297</v>
      </c>
      <c r="L148" s="216" t="s">
        <v>812</v>
      </c>
      <c r="O148" s="216">
        <v>2017</v>
      </c>
      <c r="Q148" s="31" t="s">
        <v>785</v>
      </c>
      <c r="AA148" s="31">
        <v>1</v>
      </c>
      <c r="AL148" s="27">
        <v>1</v>
      </c>
      <c r="AM148" s="216">
        <v>0</v>
      </c>
      <c r="AN148" s="218" t="str">
        <f>HYPERLINK("http://www.jkem.com/temperature-controllers/accessories/thermocouples/configure-a-thermocouple","J-Kem thermocouple")</f>
        <v>J-Kem thermocouple</v>
      </c>
      <c r="AR148" s="217"/>
    </row>
    <row r="149" spans="1:44" s="216" customFormat="1">
      <c r="A149" s="295" t="s">
        <v>798</v>
      </c>
      <c r="B149" s="216" t="s">
        <v>807</v>
      </c>
      <c r="C149" s="216" t="s">
        <v>813</v>
      </c>
      <c r="D149" s="27">
        <v>1</v>
      </c>
      <c r="E149" s="27">
        <v>1</v>
      </c>
      <c r="F149" s="216">
        <v>134</v>
      </c>
      <c r="G149" s="216">
        <v>0</v>
      </c>
      <c r="H149" s="216">
        <v>0</v>
      </c>
      <c r="K149" s="216" t="s">
        <v>297</v>
      </c>
      <c r="L149" s="216" t="s">
        <v>812</v>
      </c>
      <c r="O149" s="216">
        <v>2017</v>
      </c>
      <c r="Q149" s="31" t="s">
        <v>785</v>
      </c>
      <c r="AA149" s="31">
        <v>1</v>
      </c>
      <c r="AL149" s="27">
        <v>1</v>
      </c>
      <c r="AM149" s="216">
        <v>0</v>
      </c>
      <c r="AN149" s="218" t="str">
        <f>HYPERLINK("http://www.jkem.com/coiled-connecting-cable-20-ft-type-j-smp-male-connector-catalog-cc-20-j-smp","J-Kem Type J connecting cable")</f>
        <v>J-Kem Type J connecting cable</v>
      </c>
      <c r="AR149" s="217"/>
    </row>
    <row r="150" spans="1:44" s="216" customFormat="1">
      <c r="A150" s="295" t="s">
        <v>798</v>
      </c>
      <c r="B150" s="216" t="s">
        <v>808</v>
      </c>
      <c r="C150" s="216" t="s">
        <v>813</v>
      </c>
      <c r="D150" s="27">
        <v>1</v>
      </c>
      <c r="E150" s="27">
        <v>1</v>
      </c>
      <c r="F150" s="216">
        <v>411</v>
      </c>
      <c r="G150" s="216">
        <v>0</v>
      </c>
      <c r="H150" s="216">
        <v>0</v>
      </c>
      <c r="K150" s="216" t="s">
        <v>297</v>
      </c>
      <c r="L150" s="216" t="s">
        <v>812</v>
      </c>
      <c r="O150" s="216">
        <v>2017</v>
      </c>
      <c r="Q150" s="31" t="s">
        <v>785</v>
      </c>
      <c r="AA150" s="31">
        <v>1</v>
      </c>
      <c r="AL150" s="27">
        <v>1</v>
      </c>
      <c r="AM150" s="216">
        <v>0</v>
      </c>
      <c r="AN150" s="218" t="str">
        <f>HYPERLINK("https://www.glascol.com/series-o-resin","Glas-Co 100A O580")</f>
        <v>Glas-Co 100A O580</v>
      </c>
      <c r="AR150" s="217"/>
    </row>
    <row r="151" spans="1:44" s="216" customFormat="1">
      <c r="A151" s="295" t="s">
        <v>798</v>
      </c>
      <c r="B151" s="216" t="s">
        <v>809</v>
      </c>
      <c r="C151" s="216" t="s">
        <v>813</v>
      </c>
      <c r="D151" s="27">
        <v>1</v>
      </c>
      <c r="E151" s="27">
        <v>1</v>
      </c>
      <c r="F151" s="216">
        <v>174</v>
      </c>
      <c r="G151" s="216">
        <v>0</v>
      </c>
      <c r="H151" s="216">
        <v>0</v>
      </c>
      <c r="K151" s="216" t="s">
        <v>297</v>
      </c>
      <c r="L151" s="216" t="s">
        <v>812</v>
      </c>
      <c r="O151" s="216">
        <v>2017</v>
      </c>
      <c r="Q151" s="31" t="s">
        <v>785</v>
      </c>
      <c r="AA151" s="31">
        <v>1</v>
      </c>
      <c r="AL151" s="27">
        <v>1</v>
      </c>
      <c r="AM151" s="216">
        <v>0</v>
      </c>
      <c r="AN151" s="218" t="str">
        <f>HYPERLINK("https://www.hitechtrader.com/Heaters/Heating-Mantles/Glas-Col-4000-ml-Heating-Mantle-0580/92378-p","HiTechTrader 4L mantle")</f>
        <v>HiTechTrader 4L mantle</v>
      </c>
      <c r="AR151" s="217"/>
    </row>
    <row r="152" spans="1:44" s="216" customFormat="1">
      <c r="A152" s="295" t="s">
        <v>798</v>
      </c>
      <c r="B152" s="216" t="s">
        <v>816</v>
      </c>
      <c r="C152" s="216" t="s">
        <v>813</v>
      </c>
      <c r="D152" s="27">
        <v>1</v>
      </c>
      <c r="E152" s="27">
        <v>1</v>
      </c>
      <c r="F152" s="216">
        <v>15</v>
      </c>
      <c r="G152" s="216">
        <v>0</v>
      </c>
      <c r="H152" s="216">
        <v>0</v>
      </c>
      <c r="K152" s="216" t="s">
        <v>297</v>
      </c>
      <c r="L152" s="216" t="s">
        <v>812</v>
      </c>
      <c r="O152" s="216">
        <v>2017</v>
      </c>
      <c r="Q152" s="31" t="s">
        <v>785</v>
      </c>
      <c r="AA152" s="31">
        <v>1</v>
      </c>
      <c r="AL152" s="27">
        <v>1</v>
      </c>
      <c r="AM152" s="216">
        <v>0</v>
      </c>
      <c r="AN152" s="218"/>
      <c r="AR152" s="217"/>
    </row>
    <row r="153" spans="1:44" s="216" customFormat="1">
      <c r="A153" s="295" t="s">
        <v>798</v>
      </c>
      <c r="B153" s="216" t="s">
        <v>817</v>
      </c>
      <c r="C153" s="216" t="s">
        <v>813</v>
      </c>
      <c r="D153" s="27">
        <v>1</v>
      </c>
      <c r="E153" s="27">
        <v>1</v>
      </c>
      <c r="F153" s="216">
        <v>50</v>
      </c>
      <c r="G153" s="216">
        <v>0</v>
      </c>
      <c r="H153" s="216">
        <v>0</v>
      </c>
      <c r="K153" s="216" t="s">
        <v>297</v>
      </c>
      <c r="L153" s="216" t="s">
        <v>812</v>
      </c>
      <c r="O153" s="216">
        <v>2017</v>
      </c>
      <c r="Q153" s="31" t="s">
        <v>785</v>
      </c>
      <c r="AA153" s="31">
        <v>1</v>
      </c>
      <c r="AL153" s="27">
        <v>1</v>
      </c>
      <c r="AM153" s="216">
        <v>0</v>
      </c>
      <c r="AN153" s="218"/>
      <c r="AR153" s="217"/>
    </row>
    <row r="154" spans="1:44" s="216" customFormat="1">
      <c r="A154" s="295" t="s">
        <v>798</v>
      </c>
      <c r="B154" s="216" t="s">
        <v>810</v>
      </c>
      <c r="C154" s="216" t="s">
        <v>20</v>
      </c>
      <c r="D154" s="27">
        <v>0</v>
      </c>
      <c r="E154" s="28">
        <v>1000000000000</v>
      </c>
      <c r="F154" s="216">
        <v>0</v>
      </c>
      <c r="G154" s="216">
        <v>0.06</v>
      </c>
      <c r="H154" s="216">
        <v>1</v>
      </c>
      <c r="K154" s="216" t="s">
        <v>297</v>
      </c>
      <c r="L154" s="216" t="s">
        <v>812</v>
      </c>
      <c r="O154" s="216">
        <v>2017</v>
      </c>
      <c r="Q154" s="31" t="s">
        <v>785</v>
      </c>
      <c r="AA154" s="31">
        <v>1</v>
      </c>
      <c r="AL154" s="27">
        <v>1</v>
      </c>
      <c r="AM154" s="216">
        <v>0</v>
      </c>
      <c r="AR154" s="217"/>
    </row>
    <row r="155" spans="1:44" s="216" customFormat="1">
      <c r="AR155" s="217"/>
    </row>
    <row r="156" spans="1:44">
      <c r="B156" t="s">
        <v>521</v>
      </c>
      <c r="K156" s="203"/>
      <c r="L156" s="203"/>
      <c r="M156" s="203"/>
      <c r="N156" s="203"/>
      <c r="O156" s="203"/>
      <c r="P156" s="208"/>
      <c r="Q156" s="203"/>
      <c r="R156" s="203"/>
      <c r="S156" s="203"/>
      <c r="T156" s="203"/>
      <c r="U156" s="203"/>
      <c r="V156" s="203"/>
      <c r="W156" s="203"/>
      <c r="X156" s="203"/>
      <c r="Y156" s="203"/>
      <c r="AA156" s="203"/>
      <c r="AB156" s="203"/>
      <c r="AC156" s="203"/>
      <c r="AD156" s="203"/>
      <c r="AE156" s="203"/>
      <c r="AF156" s="203"/>
      <c r="AG156" s="203"/>
      <c r="AH156" s="203"/>
      <c r="AI156" s="203"/>
      <c r="AK156" s="203"/>
      <c r="AL156" s="203"/>
      <c r="AM156" s="203"/>
      <c r="AN156" s="203"/>
    </row>
    <row r="157" spans="1:44">
      <c r="A157" t="s">
        <v>521</v>
      </c>
      <c r="B157" t="s">
        <v>522</v>
      </c>
      <c r="C157" t="s">
        <v>525</v>
      </c>
      <c r="D157">
        <v>20</v>
      </c>
      <c r="E157">
        <v>5000</v>
      </c>
      <c r="F157">
        <v>0</v>
      </c>
      <c r="G157">
        <v>600</v>
      </c>
      <c r="H157">
        <v>0.81</v>
      </c>
      <c r="K157" s="203" t="s">
        <v>297</v>
      </c>
      <c r="L157" s="203" t="s">
        <v>442</v>
      </c>
      <c r="M157" s="31">
        <v>567</v>
      </c>
      <c r="N157" s="31"/>
      <c r="O157" s="31">
        <v>2013</v>
      </c>
      <c r="P157" s="208" t="s">
        <v>337</v>
      </c>
      <c r="Q157" s="208" t="s">
        <v>337</v>
      </c>
      <c r="R157" s="208" t="s">
        <v>180</v>
      </c>
      <c r="S157" s="208" t="s">
        <v>353</v>
      </c>
      <c r="T157" s="208" t="s">
        <v>179</v>
      </c>
      <c r="U157" s="208" t="s">
        <v>344</v>
      </c>
      <c r="V157" s="208" t="s">
        <v>713</v>
      </c>
      <c r="W157" s="208" t="s">
        <v>356</v>
      </c>
      <c r="X157" s="208"/>
      <c r="Y157" s="208"/>
      <c r="AA157" s="208">
        <v>1</v>
      </c>
      <c r="AB157" s="208">
        <v>1.2</v>
      </c>
      <c r="AC157" s="208">
        <v>2</v>
      </c>
      <c r="AD157" s="208">
        <v>2.5</v>
      </c>
      <c r="AE157" s="208">
        <v>2.7</v>
      </c>
      <c r="AF157" s="208">
        <v>3</v>
      </c>
      <c r="AG157" s="208">
        <v>6</v>
      </c>
      <c r="AH157" s="203"/>
      <c r="AI157" s="203"/>
      <c r="AK157" s="203" t="s">
        <v>729</v>
      </c>
      <c r="AL157" s="27">
        <v>1.75</v>
      </c>
      <c r="AM157" s="203">
        <v>0</v>
      </c>
      <c r="AN157" s="203"/>
    </row>
    <row r="158" spans="1:44">
      <c r="A158" s="203" t="s">
        <v>521</v>
      </c>
      <c r="B158" s="203" t="s">
        <v>523</v>
      </c>
      <c r="C158" s="203" t="s">
        <v>525</v>
      </c>
      <c r="D158">
        <v>200</v>
      </c>
      <c r="E158">
        <v>8000</v>
      </c>
      <c r="F158">
        <v>0</v>
      </c>
      <c r="G158">
        <v>1350</v>
      </c>
      <c r="H158">
        <v>0.81</v>
      </c>
      <c r="K158" s="203" t="s">
        <v>297</v>
      </c>
      <c r="L158" s="203" t="s">
        <v>442</v>
      </c>
      <c r="M158" s="31">
        <v>567</v>
      </c>
      <c r="N158" s="31"/>
      <c r="O158" s="31">
        <v>2013</v>
      </c>
      <c r="P158" s="208" t="s">
        <v>337</v>
      </c>
      <c r="Q158" s="208" t="s">
        <v>337</v>
      </c>
      <c r="R158" s="208" t="s">
        <v>180</v>
      </c>
      <c r="S158" s="208" t="s">
        <v>353</v>
      </c>
      <c r="T158" s="208" t="s">
        <v>179</v>
      </c>
      <c r="U158" s="208" t="s">
        <v>344</v>
      </c>
      <c r="V158" s="208" t="s">
        <v>713</v>
      </c>
      <c r="W158" s="208" t="s">
        <v>356</v>
      </c>
      <c r="X158" s="208"/>
      <c r="Y158" s="208"/>
      <c r="AA158" s="208">
        <v>1</v>
      </c>
      <c r="AB158" s="208">
        <v>1.2</v>
      </c>
      <c r="AC158" s="208">
        <v>2</v>
      </c>
      <c r="AD158" s="208">
        <v>2.5</v>
      </c>
      <c r="AE158" s="208">
        <v>2.7</v>
      </c>
      <c r="AF158" s="208">
        <v>3</v>
      </c>
      <c r="AG158" s="208">
        <v>6</v>
      </c>
      <c r="AH158" s="203"/>
      <c r="AI158" s="203"/>
      <c r="AK158" s="208" t="s">
        <v>729</v>
      </c>
      <c r="AL158" s="27">
        <v>1.75</v>
      </c>
      <c r="AM158" s="203">
        <v>0</v>
      </c>
      <c r="AN158" s="203"/>
    </row>
    <row r="159" spans="1:44">
      <c r="A159" s="203" t="s">
        <v>521</v>
      </c>
      <c r="B159" t="s">
        <v>524</v>
      </c>
      <c r="C159" s="203" t="s">
        <v>525</v>
      </c>
      <c r="D159">
        <v>150</v>
      </c>
      <c r="E159">
        <v>2000</v>
      </c>
      <c r="F159">
        <v>0</v>
      </c>
      <c r="G159">
        <v>1590</v>
      </c>
      <c r="H159">
        <v>0.7</v>
      </c>
      <c r="K159" s="203" t="s">
        <v>297</v>
      </c>
      <c r="L159" s="203" t="s">
        <v>442</v>
      </c>
      <c r="M159" s="31">
        <v>567</v>
      </c>
      <c r="N159" s="31"/>
      <c r="O159" s="31">
        <v>2013</v>
      </c>
      <c r="P159" s="208" t="s">
        <v>337</v>
      </c>
      <c r="Q159" s="208" t="s">
        <v>337</v>
      </c>
      <c r="R159" s="208" t="s">
        <v>180</v>
      </c>
      <c r="S159" s="208" t="s">
        <v>353</v>
      </c>
      <c r="T159" s="208" t="s">
        <v>179</v>
      </c>
      <c r="U159" s="208" t="s">
        <v>344</v>
      </c>
      <c r="V159" s="208" t="s">
        <v>713</v>
      </c>
      <c r="W159" s="208" t="s">
        <v>356</v>
      </c>
      <c r="X159" s="208"/>
      <c r="Y159" s="208"/>
      <c r="AA159" s="208">
        <v>1</v>
      </c>
      <c r="AB159" s="208">
        <v>1.2</v>
      </c>
      <c r="AC159" s="208">
        <v>2</v>
      </c>
      <c r="AD159" s="208">
        <v>2.5</v>
      </c>
      <c r="AE159" s="208">
        <v>2.7</v>
      </c>
      <c r="AF159" s="208">
        <v>3</v>
      </c>
      <c r="AG159" s="208">
        <v>6</v>
      </c>
      <c r="AH159" s="203"/>
      <c r="AI159" s="203"/>
      <c r="AK159" s="208" t="s">
        <v>729</v>
      </c>
      <c r="AL159" s="27">
        <v>1.75</v>
      </c>
      <c r="AM159" s="203">
        <v>0</v>
      </c>
      <c r="AN159" s="203"/>
    </row>
    <row r="160" spans="1:44">
      <c r="P160" s="208"/>
    </row>
    <row r="161" spans="1:44">
      <c r="B161" s="208" t="s">
        <v>771</v>
      </c>
    </row>
    <row r="162" spans="1:44">
      <c r="A162" s="295" t="s">
        <v>771</v>
      </c>
      <c r="B162" t="s">
        <v>688</v>
      </c>
      <c r="C162" t="s">
        <v>693</v>
      </c>
      <c r="D162">
        <v>1000</v>
      </c>
      <c r="E162">
        <v>920000</v>
      </c>
      <c r="F162">
        <v>5.6336000000000004</v>
      </c>
      <c r="G162">
        <v>0.45989999999999998</v>
      </c>
      <c r="H162">
        <v>5.8199999999999997E-3</v>
      </c>
      <c r="I162" s="207">
        <v>0</v>
      </c>
      <c r="J162" s="207">
        <v>0</v>
      </c>
      <c r="K162" s="208" t="s">
        <v>557</v>
      </c>
      <c r="L162" s="208" t="s">
        <v>442</v>
      </c>
      <c r="M162" s="208">
        <v>567</v>
      </c>
      <c r="N162" s="208"/>
      <c r="O162" s="208">
        <v>2013</v>
      </c>
      <c r="Q162" s="29" t="s">
        <v>337</v>
      </c>
      <c r="R162" s="30" t="s">
        <v>700</v>
      </c>
      <c r="S162" s="30" t="s">
        <v>701</v>
      </c>
      <c r="T162" s="30" t="s">
        <v>702</v>
      </c>
      <c r="U162" s="30" t="s">
        <v>703</v>
      </c>
      <c r="V162" s="208" t="s">
        <v>705</v>
      </c>
      <c r="W162" s="208" t="s">
        <v>707</v>
      </c>
      <c r="X162" s="208" t="s">
        <v>706</v>
      </c>
      <c r="Y162" s="208" t="s">
        <v>704</v>
      </c>
      <c r="Z162" s="208" t="s">
        <v>356</v>
      </c>
      <c r="AA162" s="30">
        <v>1</v>
      </c>
      <c r="AB162" s="30">
        <v>1.2</v>
      </c>
      <c r="AC162" s="30">
        <v>1.7</v>
      </c>
      <c r="AD162" s="30">
        <v>2.1</v>
      </c>
      <c r="AE162" s="30">
        <v>3.2</v>
      </c>
      <c r="AF162" s="30">
        <v>3.6</v>
      </c>
      <c r="AG162" s="30">
        <v>3.7</v>
      </c>
      <c r="AH162" s="30">
        <v>3.9</v>
      </c>
      <c r="AI162" s="30">
        <v>5.4</v>
      </c>
      <c r="AJ162" s="208">
        <v>7.7</v>
      </c>
      <c r="AK162" s="208">
        <v>3.05</v>
      </c>
      <c r="AL162" s="27">
        <v>1.7</v>
      </c>
      <c r="AM162" s="30">
        <v>0</v>
      </c>
      <c r="AN162" t="s">
        <v>698</v>
      </c>
    </row>
    <row r="163" spans="1:44">
      <c r="A163" s="295" t="s">
        <v>771</v>
      </c>
      <c r="B163" s="208" t="s">
        <v>689</v>
      </c>
      <c r="C163" s="208" t="s">
        <v>693</v>
      </c>
      <c r="D163">
        <v>4200</v>
      </c>
      <c r="E163" s="205">
        <v>1000000</v>
      </c>
      <c r="F163">
        <v>7.1390000000000002</v>
      </c>
      <c r="G163">
        <v>0.18254999999999999</v>
      </c>
      <c r="H163">
        <v>2.2970000000000001E-2</v>
      </c>
      <c r="I163" s="207">
        <v>0</v>
      </c>
      <c r="J163" s="207">
        <v>0</v>
      </c>
      <c r="K163" s="208" t="s">
        <v>557</v>
      </c>
      <c r="L163" s="208" t="s">
        <v>442</v>
      </c>
      <c r="M163" s="208">
        <v>567</v>
      </c>
      <c r="N163" s="208"/>
      <c r="O163" s="208">
        <v>2013</v>
      </c>
      <c r="Q163" s="208" t="s">
        <v>337</v>
      </c>
      <c r="R163" s="208" t="s">
        <v>700</v>
      </c>
      <c r="S163" s="208" t="s">
        <v>701</v>
      </c>
      <c r="T163" s="208" t="s">
        <v>702</v>
      </c>
      <c r="U163" s="208" t="s">
        <v>703</v>
      </c>
      <c r="V163" s="208" t="s">
        <v>705</v>
      </c>
      <c r="W163" s="208" t="s">
        <v>707</v>
      </c>
      <c r="X163" s="208" t="s">
        <v>706</v>
      </c>
      <c r="Y163" s="208" t="s">
        <v>704</v>
      </c>
      <c r="Z163" s="208" t="s">
        <v>356</v>
      </c>
      <c r="AA163" s="208">
        <v>1</v>
      </c>
      <c r="AB163" s="208">
        <v>1.2</v>
      </c>
      <c r="AC163" s="208">
        <v>1.7</v>
      </c>
      <c r="AD163" s="208">
        <v>2.1</v>
      </c>
      <c r="AE163" s="208">
        <v>3.2</v>
      </c>
      <c r="AF163" s="208">
        <v>3.6</v>
      </c>
      <c r="AG163" s="208">
        <v>3.7</v>
      </c>
      <c r="AH163" s="208">
        <v>3.9</v>
      </c>
      <c r="AI163" s="208">
        <v>5.4</v>
      </c>
      <c r="AJ163" s="208">
        <v>7.7</v>
      </c>
      <c r="AK163" s="208">
        <v>4.16</v>
      </c>
      <c r="AL163" s="27">
        <v>1.7</v>
      </c>
      <c r="AM163" s="30">
        <v>0</v>
      </c>
      <c r="AN163" s="208" t="s">
        <v>698</v>
      </c>
    </row>
    <row r="164" spans="1:44" s="208" customFormat="1">
      <c r="A164" s="295" t="s">
        <v>771</v>
      </c>
      <c r="B164" s="208" t="s">
        <v>695</v>
      </c>
      <c r="C164" s="208" t="s">
        <v>693</v>
      </c>
      <c r="D164" s="208">
        <v>9000</v>
      </c>
      <c r="E164" s="205">
        <v>2500000</v>
      </c>
      <c r="F164" s="208">
        <v>10.5449</v>
      </c>
      <c r="G164" s="208">
        <v>-0.4672</v>
      </c>
      <c r="H164" s="208">
        <v>5.4820000000000001E-2</v>
      </c>
      <c r="I164" s="208">
        <v>0</v>
      </c>
      <c r="J164" s="208">
        <v>0</v>
      </c>
      <c r="K164" s="208" t="s">
        <v>557</v>
      </c>
      <c r="L164" s="208" t="s">
        <v>442</v>
      </c>
      <c r="M164" s="208">
        <v>567</v>
      </c>
      <c r="O164" s="208">
        <v>2013</v>
      </c>
      <c r="Q164" s="208" t="s">
        <v>337</v>
      </c>
      <c r="R164" s="208" t="s">
        <v>700</v>
      </c>
      <c r="S164" s="208" t="s">
        <v>701</v>
      </c>
      <c r="T164" s="208" t="s">
        <v>702</v>
      </c>
      <c r="U164" s="208" t="s">
        <v>703</v>
      </c>
      <c r="V164" s="208" t="s">
        <v>705</v>
      </c>
      <c r="W164" s="208" t="s">
        <v>707</v>
      </c>
      <c r="X164" s="208" t="s">
        <v>706</v>
      </c>
      <c r="Y164" s="208" t="s">
        <v>704</v>
      </c>
      <c r="Z164" s="208" t="s">
        <v>356</v>
      </c>
      <c r="AA164" s="208">
        <v>1</v>
      </c>
      <c r="AB164" s="208">
        <v>1.2</v>
      </c>
      <c r="AC164" s="208">
        <v>1.7</v>
      </c>
      <c r="AD164" s="208">
        <v>2.1</v>
      </c>
      <c r="AE164" s="208">
        <v>3.2</v>
      </c>
      <c r="AF164" s="208">
        <v>3.6</v>
      </c>
      <c r="AG164" s="208">
        <v>3.7</v>
      </c>
      <c r="AH164" s="208">
        <v>3.9</v>
      </c>
      <c r="AI164" s="208">
        <v>5.4</v>
      </c>
      <c r="AJ164" s="208">
        <v>7.7</v>
      </c>
      <c r="AK164" s="208">
        <v>4.16</v>
      </c>
      <c r="AL164" s="27">
        <v>1.7</v>
      </c>
      <c r="AM164" s="208">
        <v>0.2</v>
      </c>
      <c r="AN164" s="208" t="s">
        <v>699</v>
      </c>
      <c r="AR164" s="217"/>
    </row>
    <row r="165" spans="1:44">
      <c r="A165" s="295" t="s">
        <v>771</v>
      </c>
      <c r="B165" t="s">
        <v>690</v>
      </c>
      <c r="C165" t="s">
        <v>692</v>
      </c>
      <c r="D165">
        <v>3</v>
      </c>
      <c r="E165">
        <v>12</v>
      </c>
      <c r="F165">
        <v>0</v>
      </c>
      <c r="G165">
        <v>2275</v>
      </c>
      <c r="H165">
        <v>0.2094</v>
      </c>
      <c r="K165" s="208" t="s">
        <v>297</v>
      </c>
      <c r="L165" s="208" t="s">
        <v>442</v>
      </c>
      <c r="M165" s="26">
        <v>567</v>
      </c>
      <c r="O165">
        <v>2013</v>
      </c>
      <c r="Q165" s="208" t="s">
        <v>337</v>
      </c>
      <c r="AA165" s="30">
        <v>1</v>
      </c>
      <c r="AK165" s="208">
        <v>3.05</v>
      </c>
      <c r="AL165" s="27">
        <v>1.7</v>
      </c>
      <c r="AM165" s="30">
        <v>0</v>
      </c>
      <c r="AN165" t="s">
        <v>709</v>
      </c>
    </row>
    <row r="166" spans="1:44">
      <c r="A166" s="295" t="s">
        <v>771</v>
      </c>
      <c r="B166" s="208" t="s">
        <v>691</v>
      </c>
      <c r="C166" t="s">
        <v>696</v>
      </c>
      <c r="D166" s="211">
        <v>13.052309157301323</v>
      </c>
      <c r="E166" s="211">
        <v>128.9179748553174</v>
      </c>
      <c r="F166">
        <v>0</v>
      </c>
      <c r="G166">
        <v>410</v>
      </c>
      <c r="H166">
        <v>1</v>
      </c>
      <c r="K166" s="208" t="s">
        <v>297</v>
      </c>
      <c r="L166" s="208" t="s">
        <v>442</v>
      </c>
      <c r="M166" s="208">
        <v>567</v>
      </c>
      <c r="N166" s="208"/>
      <c r="O166" s="208">
        <v>2013</v>
      </c>
      <c r="Q166" s="29" t="s">
        <v>337</v>
      </c>
      <c r="AA166" s="30">
        <v>1</v>
      </c>
      <c r="AK166" s="208">
        <v>4.16</v>
      </c>
      <c r="AL166" s="27">
        <v>1.7</v>
      </c>
      <c r="AM166" s="30">
        <v>0</v>
      </c>
      <c r="AN166" s="208" t="s">
        <v>708</v>
      </c>
    </row>
    <row r="167" spans="1:44">
      <c r="A167" s="295" t="s">
        <v>771</v>
      </c>
      <c r="B167" t="s">
        <v>694</v>
      </c>
      <c r="C167" t="s">
        <v>697</v>
      </c>
      <c r="D167" s="211">
        <v>28.150726061626788</v>
      </c>
      <c r="E167" s="211">
        <v>459.03384712136625</v>
      </c>
      <c r="F167">
        <v>0</v>
      </c>
      <c r="G167">
        <v>341</v>
      </c>
      <c r="H167">
        <v>1</v>
      </c>
      <c r="K167" s="208" t="s">
        <v>297</v>
      </c>
      <c r="L167" s="208" t="s">
        <v>442</v>
      </c>
      <c r="M167" s="208">
        <v>567</v>
      </c>
      <c r="N167" s="208"/>
      <c r="O167" s="208">
        <v>2013</v>
      </c>
      <c r="Q167" s="208" t="s">
        <v>337</v>
      </c>
      <c r="AA167" s="30">
        <v>1</v>
      </c>
      <c r="AK167" s="208">
        <v>4.16</v>
      </c>
      <c r="AL167" s="27">
        <v>1.7</v>
      </c>
      <c r="AM167" s="30">
        <v>0</v>
      </c>
      <c r="AN167" s="208" t="s">
        <v>710</v>
      </c>
    </row>
    <row r="168" spans="1:44" s="209" customFormat="1">
      <c r="D168" s="211"/>
      <c r="E168" s="211"/>
      <c r="AR168" s="217"/>
    </row>
    <row r="169" spans="1:44" s="29" customFormat="1">
      <c r="B169" s="29" t="s">
        <v>744</v>
      </c>
      <c r="I169" s="207"/>
      <c r="J169" s="207"/>
      <c r="R169" s="30"/>
      <c r="S169" s="30"/>
      <c r="T169" s="30"/>
      <c r="U169" s="30"/>
      <c r="V169" s="30"/>
      <c r="W169" s="30"/>
      <c r="X169" s="30"/>
      <c r="Y169" s="30"/>
      <c r="Z169" s="208"/>
      <c r="AA169" s="30"/>
      <c r="AB169" s="30"/>
      <c r="AC169" s="30"/>
      <c r="AD169" s="30"/>
      <c r="AE169" s="30"/>
      <c r="AF169" s="30"/>
      <c r="AG169" s="30"/>
      <c r="AH169" s="30"/>
      <c r="AI169" s="30"/>
      <c r="AJ169" s="208"/>
      <c r="AL169" s="30"/>
      <c r="AM169" s="30"/>
      <c r="AR169" s="217"/>
    </row>
    <row r="170" spans="1:44" s="29" customFormat="1">
      <c r="A170" s="295" t="s">
        <v>744</v>
      </c>
      <c r="B170" s="29" t="s">
        <v>268</v>
      </c>
      <c r="C170" s="29" t="s">
        <v>269</v>
      </c>
      <c r="D170" s="29">
        <v>160</v>
      </c>
      <c r="E170" s="29">
        <v>250000</v>
      </c>
      <c r="F170" s="29">
        <v>11600</v>
      </c>
      <c r="G170" s="29">
        <v>34</v>
      </c>
      <c r="H170" s="29">
        <v>0.85</v>
      </c>
      <c r="I170" s="207"/>
      <c r="J170" s="207"/>
      <c r="K170" s="29" t="s">
        <v>297</v>
      </c>
      <c r="L170" s="200" t="s">
        <v>443</v>
      </c>
      <c r="M170" s="29">
        <v>532.9</v>
      </c>
      <c r="N170" s="29">
        <v>2281.6</v>
      </c>
      <c r="O170" s="29">
        <v>2010</v>
      </c>
      <c r="Q170" s="31" t="s">
        <v>337</v>
      </c>
      <c r="R170" s="31" t="s">
        <v>338</v>
      </c>
      <c r="S170" s="31" t="s">
        <v>339</v>
      </c>
      <c r="T170" s="31" t="s">
        <v>343</v>
      </c>
      <c r="U170" s="31" t="s">
        <v>344</v>
      </c>
      <c r="V170" s="31" t="s">
        <v>345</v>
      </c>
      <c r="Z170" s="208"/>
      <c r="AA170" s="31">
        <v>1</v>
      </c>
      <c r="AB170" s="31">
        <v>1.07</v>
      </c>
      <c r="AC170" s="31">
        <v>1.1000000000000001</v>
      </c>
      <c r="AD170" s="31">
        <v>1.55</v>
      </c>
      <c r="AE170" s="31">
        <v>1.65</v>
      </c>
      <c r="AF170" s="31">
        <v>1.7</v>
      </c>
      <c r="AJ170" s="208"/>
      <c r="AK170" s="29">
        <v>4.16</v>
      </c>
      <c r="AL170" s="27">
        <v>1.7</v>
      </c>
      <c r="AM170" s="30">
        <v>0</v>
      </c>
      <c r="AN170" s="29" t="s">
        <v>270</v>
      </c>
      <c r="AR170" s="217"/>
    </row>
    <row r="171" spans="1:44" s="29" customFormat="1">
      <c r="A171" s="295" t="s">
        <v>744</v>
      </c>
      <c r="B171" s="29" t="s">
        <v>271</v>
      </c>
      <c r="C171" s="29" t="s">
        <v>269</v>
      </c>
      <c r="D171" s="29">
        <v>160</v>
      </c>
      <c r="E171" s="29">
        <v>50000</v>
      </c>
      <c r="F171" s="29">
        <v>10200</v>
      </c>
      <c r="G171" s="29">
        <v>31</v>
      </c>
      <c r="H171" s="29">
        <v>0.85</v>
      </c>
      <c r="I171" s="207"/>
      <c r="J171" s="207"/>
      <c r="K171" s="29" t="s">
        <v>297</v>
      </c>
      <c r="L171" s="200" t="s">
        <v>443</v>
      </c>
      <c r="M171" s="29">
        <v>532.9</v>
      </c>
      <c r="N171" s="29">
        <v>2281.6</v>
      </c>
      <c r="O171" s="29">
        <v>2010</v>
      </c>
      <c r="Q171" s="31" t="s">
        <v>337</v>
      </c>
      <c r="R171" s="31" t="s">
        <v>338</v>
      </c>
      <c r="S171" s="31" t="s">
        <v>339</v>
      </c>
      <c r="T171" s="31" t="s">
        <v>343</v>
      </c>
      <c r="U171" s="31" t="s">
        <v>344</v>
      </c>
      <c r="V171" s="31" t="s">
        <v>345</v>
      </c>
      <c r="Z171" s="208"/>
      <c r="AA171" s="31">
        <v>1</v>
      </c>
      <c r="AB171" s="31">
        <v>1.07</v>
      </c>
      <c r="AC171" s="31">
        <v>1.1000000000000001</v>
      </c>
      <c r="AD171" s="31">
        <v>1.55</v>
      </c>
      <c r="AE171" s="31">
        <v>1.65</v>
      </c>
      <c r="AF171" s="31">
        <v>1.7</v>
      </c>
      <c r="AJ171" s="208"/>
      <c r="AK171" s="29">
        <v>3.05</v>
      </c>
      <c r="AL171" s="27">
        <v>1.7</v>
      </c>
      <c r="AM171" s="30">
        <v>0</v>
      </c>
      <c r="AN171" s="29" t="s">
        <v>270</v>
      </c>
      <c r="AR171" s="217"/>
    </row>
    <row r="172" spans="1:44" s="29" customFormat="1">
      <c r="A172" s="295" t="s">
        <v>744</v>
      </c>
      <c r="B172" s="1" t="s">
        <v>272</v>
      </c>
      <c r="C172" s="29" t="s">
        <v>269</v>
      </c>
      <c r="D172" s="29">
        <v>120</v>
      </c>
      <c r="E172" s="29">
        <v>250000</v>
      </c>
      <c r="F172" s="29">
        <v>17400</v>
      </c>
      <c r="G172" s="29">
        <v>79</v>
      </c>
      <c r="H172" s="29">
        <v>0.85</v>
      </c>
      <c r="I172" s="207"/>
      <c r="J172" s="207"/>
      <c r="K172" s="29" t="s">
        <v>297</v>
      </c>
      <c r="L172" s="200" t="s">
        <v>443</v>
      </c>
      <c r="M172" s="29">
        <v>532.9</v>
      </c>
      <c r="N172" s="29">
        <v>2281.6</v>
      </c>
      <c r="O172" s="29">
        <v>2010</v>
      </c>
      <c r="P172" s="29" t="s">
        <v>255</v>
      </c>
      <c r="Q172" s="31" t="s">
        <v>340</v>
      </c>
      <c r="R172" s="31" t="s">
        <v>341</v>
      </c>
      <c r="S172" s="31" t="s">
        <v>342</v>
      </c>
      <c r="T172" s="31"/>
      <c r="W172" s="31"/>
      <c r="X172" s="31"/>
      <c r="Y172" s="31"/>
      <c r="Z172" s="31"/>
      <c r="AA172" s="31">
        <v>1</v>
      </c>
      <c r="AB172" s="31">
        <v>1</v>
      </c>
      <c r="AC172" s="31">
        <v>1.1538461538461537</v>
      </c>
      <c r="AD172" s="30"/>
      <c r="AE172" s="30"/>
      <c r="AF172" s="30"/>
      <c r="AG172" s="30"/>
      <c r="AH172" s="30"/>
      <c r="AI172" s="30"/>
      <c r="AJ172" s="208"/>
      <c r="AK172" s="30">
        <v>4.16</v>
      </c>
      <c r="AL172" s="27">
        <v>1.7</v>
      </c>
      <c r="AM172" s="30">
        <v>0</v>
      </c>
      <c r="AN172" s="29" t="s">
        <v>270</v>
      </c>
      <c r="AR172" s="217"/>
    </row>
    <row r="173" spans="1:44" s="29" customFormat="1">
      <c r="A173" s="295" t="s">
        <v>744</v>
      </c>
      <c r="B173" s="29" t="s">
        <v>273</v>
      </c>
      <c r="C173" s="29" t="s">
        <v>269</v>
      </c>
      <c r="D173" s="29">
        <v>120</v>
      </c>
      <c r="E173" s="29">
        <v>50000</v>
      </c>
      <c r="F173" s="29">
        <v>12800</v>
      </c>
      <c r="G173" s="29">
        <v>73</v>
      </c>
      <c r="H173" s="29">
        <v>0.85</v>
      </c>
      <c r="I173" s="207"/>
      <c r="J173" s="207"/>
      <c r="K173" s="29" t="s">
        <v>297</v>
      </c>
      <c r="L173" s="200" t="s">
        <v>443</v>
      </c>
      <c r="M173" s="29">
        <v>532.9</v>
      </c>
      <c r="N173" s="29">
        <v>2281.6</v>
      </c>
      <c r="O173" s="29">
        <v>2010</v>
      </c>
      <c r="P173" s="29" t="s">
        <v>255</v>
      </c>
      <c r="Q173" s="31" t="s">
        <v>340</v>
      </c>
      <c r="R173" s="31" t="s">
        <v>341</v>
      </c>
      <c r="S173" s="31" t="s">
        <v>342</v>
      </c>
      <c r="T173" s="31"/>
      <c r="W173" s="31"/>
      <c r="X173" s="31"/>
      <c r="Y173" s="31"/>
      <c r="Z173" s="31"/>
      <c r="AA173" s="31">
        <v>1</v>
      </c>
      <c r="AB173" s="31">
        <v>1</v>
      </c>
      <c r="AC173" s="31">
        <v>1.1538461538461537</v>
      </c>
      <c r="AG173" s="31"/>
      <c r="AH173" s="31"/>
      <c r="AI173" s="31"/>
      <c r="AJ173" s="31"/>
      <c r="AK173" s="30">
        <v>3.05</v>
      </c>
      <c r="AL173" s="27">
        <v>1.7</v>
      </c>
      <c r="AM173" s="30">
        <v>0</v>
      </c>
      <c r="AN173" s="29" t="s">
        <v>270</v>
      </c>
      <c r="AR173" s="217"/>
    </row>
    <row r="174" spans="1:44" s="29" customFormat="1">
      <c r="I174" s="207"/>
      <c r="J174" s="207"/>
      <c r="R174" s="30"/>
      <c r="S174" s="30"/>
      <c r="T174" s="30"/>
      <c r="U174" s="30"/>
      <c r="V174" s="30"/>
      <c r="W174" s="30"/>
      <c r="X174" s="30"/>
      <c r="Y174" s="30"/>
      <c r="Z174" s="208"/>
      <c r="AA174" s="31"/>
      <c r="AB174" s="30"/>
      <c r="AC174" s="30"/>
      <c r="AD174" s="30"/>
      <c r="AE174" s="30"/>
      <c r="AF174" s="30"/>
      <c r="AG174" s="30"/>
      <c r="AH174" s="30"/>
      <c r="AI174" s="30"/>
      <c r="AJ174" s="208"/>
      <c r="AL174" s="30"/>
      <c r="AM174" s="30"/>
      <c r="AR174" s="217"/>
    </row>
    <row r="175" spans="1:44">
      <c r="B175" t="s">
        <v>745</v>
      </c>
    </row>
    <row r="176" spans="1:44">
      <c r="A176" t="s">
        <v>986</v>
      </c>
      <c r="B176" t="s">
        <v>659</v>
      </c>
      <c r="C176" t="s">
        <v>609</v>
      </c>
      <c r="D176">
        <v>400</v>
      </c>
      <c r="E176">
        <v>100000</v>
      </c>
      <c r="F176">
        <v>12.1656</v>
      </c>
      <c r="G176">
        <v>-1.1448</v>
      </c>
      <c r="H176">
        <v>8.6199999999999999E-2</v>
      </c>
      <c r="I176" s="207">
        <v>0</v>
      </c>
      <c r="J176" s="207">
        <v>0</v>
      </c>
      <c r="K176" s="207" t="s">
        <v>557</v>
      </c>
      <c r="L176" s="207" t="s">
        <v>442</v>
      </c>
      <c r="M176" s="207">
        <v>567</v>
      </c>
      <c r="O176">
        <v>2013</v>
      </c>
      <c r="Q176" s="29" t="s">
        <v>610</v>
      </c>
      <c r="R176" s="30" t="s">
        <v>611</v>
      </c>
      <c r="S176" s="30" t="s">
        <v>339</v>
      </c>
      <c r="T176" s="30" t="s">
        <v>612</v>
      </c>
      <c r="U176" s="30" t="s">
        <v>353</v>
      </c>
      <c r="V176" s="30" t="s">
        <v>343</v>
      </c>
      <c r="W176" s="30" t="s">
        <v>344</v>
      </c>
      <c r="X176" s="30" t="s">
        <v>179</v>
      </c>
      <c r="Y176" s="30" t="s">
        <v>356</v>
      </c>
      <c r="AA176" s="207">
        <v>1</v>
      </c>
      <c r="AB176" s="207">
        <v>1.1499999999999999</v>
      </c>
      <c r="AC176" s="207">
        <v>1.35</v>
      </c>
      <c r="AD176" s="207">
        <v>1.9</v>
      </c>
      <c r="AE176" s="207">
        <v>2</v>
      </c>
      <c r="AF176" s="207">
        <v>2.95</v>
      </c>
      <c r="AG176" s="207">
        <v>3.3</v>
      </c>
      <c r="AH176" s="207">
        <v>3.5</v>
      </c>
      <c r="AI176" s="207">
        <v>9.6999999999999993</v>
      </c>
      <c r="AK176" s="208">
        <v>3.3</v>
      </c>
      <c r="AL176" s="25">
        <v>1.3</v>
      </c>
      <c r="AM176" s="30">
        <v>0</v>
      </c>
      <c r="AN176" t="s">
        <v>613</v>
      </c>
    </row>
    <row r="177" spans="1:44">
      <c r="A177" s="295" t="s">
        <v>986</v>
      </c>
      <c r="B177" s="207" t="s">
        <v>660</v>
      </c>
      <c r="C177" s="207" t="s">
        <v>609</v>
      </c>
      <c r="D177" s="207">
        <v>400</v>
      </c>
      <c r="E177" s="207">
        <v>100000</v>
      </c>
      <c r="F177" s="207">
        <v>12.1656</v>
      </c>
      <c r="G177" s="207">
        <v>-1.1448</v>
      </c>
      <c r="H177" s="207">
        <v>8.6199999999999999E-2</v>
      </c>
      <c r="I177" s="208">
        <v>0</v>
      </c>
      <c r="J177" s="208">
        <v>0</v>
      </c>
      <c r="K177" s="207" t="s">
        <v>557</v>
      </c>
      <c r="L177" s="207" t="s">
        <v>442</v>
      </c>
      <c r="M177" s="207">
        <v>567</v>
      </c>
      <c r="O177">
        <v>2013</v>
      </c>
      <c r="Q177" s="207" t="s">
        <v>610</v>
      </c>
      <c r="R177" s="207" t="s">
        <v>611</v>
      </c>
      <c r="S177" s="207" t="s">
        <v>339</v>
      </c>
      <c r="T177" s="207" t="s">
        <v>612</v>
      </c>
      <c r="U177" s="207" t="s">
        <v>353</v>
      </c>
      <c r="V177" s="207" t="s">
        <v>343</v>
      </c>
      <c r="W177" s="207" t="s">
        <v>344</v>
      </c>
      <c r="X177" s="207" t="s">
        <v>179</v>
      </c>
      <c r="Y177" s="207" t="s">
        <v>356</v>
      </c>
      <c r="AA177" s="207">
        <v>1.5</v>
      </c>
      <c r="AB177" s="207">
        <v>1.7249999999999999</v>
      </c>
      <c r="AC177" s="207">
        <v>2.0250000000000004</v>
      </c>
      <c r="AD177" s="207">
        <v>2.8499999999999996</v>
      </c>
      <c r="AE177" s="207">
        <v>3</v>
      </c>
      <c r="AF177" s="207">
        <v>4.4250000000000007</v>
      </c>
      <c r="AG177" s="207">
        <v>4.9499999999999993</v>
      </c>
      <c r="AH177" s="207">
        <v>5.25</v>
      </c>
      <c r="AI177" s="207">
        <v>14.549999999999999</v>
      </c>
      <c r="AK177" s="208">
        <v>3.3</v>
      </c>
      <c r="AL177" s="25">
        <v>1.3</v>
      </c>
      <c r="AM177" s="214">
        <v>0</v>
      </c>
      <c r="AN177" s="207" t="s">
        <v>614</v>
      </c>
    </row>
    <row r="178" spans="1:44">
      <c r="A178" s="295" t="s">
        <v>986</v>
      </c>
      <c r="B178" s="207" t="s">
        <v>661</v>
      </c>
      <c r="C178" s="207" t="s">
        <v>609</v>
      </c>
      <c r="D178" s="207">
        <v>400</v>
      </c>
      <c r="E178" s="207">
        <v>100000</v>
      </c>
      <c r="F178" s="207">
        <v>12.1656</v>
      </c>
      <c r="G178" s="207">
        <v>-1.1448</v>
      </c>
      <c r="H178" s="207">
        <v>8.6199999999999999E-2</v>
      </c>
      <c r="I178" s="208">
        <v>0</v>
      </c>
      <c r="J178" s="208">
        <v>0</v>
      </c>
      <c r="K178" s="207" t="s">
        <v>557</v>
      </c>
      <c r="L178" s="207" t="s">
        <v>442</v>
      </c>
      <c r="M178" s="207">
        <v>567</v>
      </c>
      <c r="O178">
        <v>2013</v>
      </c>
      <c r="Q178" s="207" t="s">
        <v>610</v>
      </c>
      <c r="R178" s="207" t="s">
        <v>611</v>
      </c>
      <c r="S178" s="207" t="s">
        <v>339</v>
      </c>
      <c r="T178" s="207" t="s">
        <v>612</v>
      </c>
      <c r="U178" s="207" t="s">
        <v>353</v>
      </c>
      <c r="V178" s="207" t="s">
        <v>343</v>
      </c>
      <c r="W178" s="207" t="s">
        <v>344</v>
      </c>
      <c r="X178" s="207" t="s">
        <v>179</v>
      </c>
      <c r="Y178" s="207" t="s">
        <v>356</v>
      </c>
      <c r="AA178" s="207">
        <v>1.7</v>
      </c>
      <c r="AB178" s="207">
        <v>1.9549999999999998</v>
      </c>
      <c r="AC178" s="207">
        <v>2.2949999999999999</v>
      </c>
      <c r="AD178" s="207">
        <v>3.23</v>
      </c>
      <c r="AE178" s="207">
        <v>3.4</v>
      </c>
      <c r="AF178" s="207">
        <v>5.0150000000000006</v>
      </c>
      <c r="AG178" s="207">
        <v>5.6099999999999994</v>
      </c>
      <c r="AH178" s="207">
        <v>5.95</v>
      </c>
      <c r="AI178" s="207">
        <v>16.489999999999998</v>
      </c>
      <c r="AK178" s="208">
        <v>3.3</v>
      </c>
      <c r="AL178" s="30">
        <v>1.3</v>
      </c>
      <c r="AM178" s="214">
        <v>0</v>
      </c>
      <c r="AN178" s="207" t="s">
        <v>615</v>
      </c>
    </row>
    <row r="179" spans="1:44">
      <c r="A179" s="295" t="s">
        <v>986</v>
      </c>
      <c r="B179" s="207" t="s">
        <v>662</v>
      </c>
      <c r="C179" s="207" t="s">
        <v>609</v>
      </c>
      <c r="D179" s="207">
        <v>400</v>
      </c>
      <c r="E179" s="207">
        <v>100000</v>
      </c>
      <c r="F179" s="207">
        <v>12.1656</v>
      </c>
      <c r="G179" s="207">
        <v>-1.1448</v>
      </c>
      <c r="H179" s="207">
        <v>8.6199999999999999E-2</v>
      </c>
      <c r="I179" s="208">
        <v>0</v>
      </c>
      <c r="J179" s="208">
        <v>0</v>
      </c>
      <c r="K179" s="207" t="s">
        <v>557</v>
      </c>
      <c r="L179" s="207" t="s">
        <v>442</v>
      </c>
      <c r="M179" s="207">
        <v>567</v>
      </c>
      <c r="O179">
        <v>2013</v>
      </c>
      <c r="Q179" s="207" t="s">
        <v>610</v>
      </c>
      <c r="R179" s="207" t="s">
        <v>611</v>
      </c>
      <c r="S179" s="207" t="s">
        <v>339</v>
      </c>
      <c r="T179" s="207" t="s">
        <v>612</v>
      </c>
      <c r="U179" s="207" t="s">
        <v>353</v>
      </c>
      <c r="V179" s="207" t="s">
        <v>343</v>
      </c>
      <c r="W179" s="207" t="s">
        <v>344</v>
      </c>
      <c r="X179" s="207" t="s">
        <v>179</v>
      </c>
      <c r="Y179" s="207" t="s">
        <v>356</v>
      </c>
      <c r="AA179" s="207">
        <v>2</v>
      </c>
      <c r="AB179" s="207">
        <v>2.2999999999999998</v>
      </c>
      <c r="AC179" s="207">
        <v>2.7</v>
      </c>
      <c r="AD179" s="207">
        <v>3.8</v>
      </c>
      <c r="AE179" s="207">
        <v>4</v>
      </c>
      <c r="AF179" s="207">
        <v>5.9</v>
      </c>
      <c r="AG179" s="207">
        <v>6.6</v>
      </c>
      <c r="AH179" s="207">
        <v>7</v>
      </c>
      <c r="AI179" s="207">
        <v>19.399999999999999</v>
      </c>
      <c r="AK179" s="208">
        <v>3.3</v>
      </c>
      <c r="AL179" s="30">
        <v>1.3</v>
      </c>
      <c r="AM179" s="214">
        <v>0</v>
      </c>
      <c r="AN179" s="207" t="s">
        <v>616</v>
      </c>
    </row>
    <row r="180" spans="1:44">
      <c r="A180" s="295" t="s">
        <v>986</v>
      </c>
      <c r="B180" s="207" t="s">
        <v>663</v>
      </c>
      <c r="C180" s="207" t="s">
        <v>609</v>
      </c>
      <c r="D180" s="207">
        <v>400</v>
      </c>
      <c r="E180" s="207">
        <v>100000</v>
      </c>
      <c r="F180" s="207">
        <v>12.1656</v>
      </c>
      <c r="G180" s="207">
        <v>-1.1448</v>
      </c>
      <c r="H180" s="207">
        <v>8.6199999999999999E-2</v>
      </c>
      <c r="I180" s="208">
        <v>0</v>
      </c>
      <c r="J180" s="208">
        <v>0</v>
      </c>
      <c r="K180" s="207" t="s">
        <v>557</v>
      </c>
      <c r="L180" s="207" t="s">
        <v>442</v>
      </c>
      <c r="M180" s="26">
        <v>567</v>
      </c>
      <c r="O180">
        <v>2013</v>
      </c>
      <c r="Q180" s="207" t="s">
        <v>610</v>
      </c>
      <c r="R180" s="207" t="s">
        <v>611</v>
      </c>
      <c r="S180" s="207" t="s">
        <v>339</v>
      </c>
      <c r="T180" s="207" t="s">
        <v>612</v>
      </c>
      <c r="U180" s="207" t="s">
        <v>353</v>
      </c>
      <c r="V180" s="207" t="s">
        <v>343</v>
      </c>
      <c r="W180" s="207" t="s">
        <v>344</v>
      </c>
      <c r="X180" s="207" t="s">
        <v>179</v>
      </c>
      <c r="Y180" s="207" t="s">
        <v>356</v>
      </c>
      <c r="AA180" s="207">
        <v>2.7</v>
      </c>
      <c r="AB180" s="207">
        <v>3.105</v>
      </c>
      <c r="AC180" s="207">
        <v>3.6450000000000005</v>
      </c>
      <c r="AD180" s="207">
        <v>5.13</v>
      </c>
      <c r="AE180" s="207">
        <v>5.4</v>
      </c>
      <c r="AF180" s="207">
        <v>7.9650000000000007</v>
      </c>
      <c r="AG180" s="207">
        <v>8.91</v>
      </c>
      <c r="AH180" s="207">
        <v>9.4500000000000011</v>
      </c>
      <c r="AI180" s="207">
        <v>26.19</v>
      </c>
      <c r="AK180" s="208">
        <v>3.3</v>
      </c>
      <c r="AL180" s="30">
        <v>1.3</v>
      </c>
      <c r="AM180" s="214">
        <v>0</v>
      </c>
      <c r="AN180" s="207" t="s">
        <v>617</v>
      </c>
    </row>
    <row r="181" spans="1:44">
      <c r="A181" s="295" t="s">
        <v>986</v>
      </c>
      <c r="B181" s="207" t="s">
        <v>664</v>
      </c>
      <c r="C181" s="207" t="s">
        <v>609</v>
      </c>
      <c r="D181" s="207">
        <v>400</v>
      </c>
      <c r="E181" s="207">
        <v>100000</v>
      </c>
      <c r="F181" s="207">
        <v>12.1656</v>
      </c>
      <c r="G181" s="207">
        <v>-1.1448</v>
      </c>
      <c r="H181" s="207">
        <v>8.6199999999999999E-2</v>
      </c>
      <c r="I181" s="208">
        <v>0</v>
      </c>
      <c r="J181" s="208">
        <v>0</v>
      </c>
      <c r="K181" s="207" t="s">
        <v>557</v>
      </c>
      <c r="L181" s="207" t="s">
        <v>442</v>
      </c>
      <c r="M181" s="26">
        <v>567</v>
      </c>
      <c r="O181">
        <v>2013</v>
      </c>
      <c r="Q181" s="207" t="s">
        <v>610</v>
      </c>
      <c r="R181" s="207" t="s">
        <v>611</v>
      </c>
      <c r="S181" s="207" t="s">
        <v>339</v>
      </c>
      <c r="T181" s="207" t="s">
        <v>612</v>
      </c>
      <c r="U181" s="207" t="s">
        <v>353</v>
      </c>
      <c r="V181" s="207" t="s">
        <v>343</v>
      </c>
      <c r="W181" s="207" t="s">
        <v>344</v>
      </c>
      <c r="X181" s="207" t="s">
        <v>179</v>
      </c>
      <c r="Y181" s="207" t="s">
        <v>356</v>
      </c>
      <c r="AA181" s="207">
        <v>8.9</v>
      </c>
      <c r="AB181" s="207">
        <v>10.234999999999999</v>
      </c>
      <c r="AC181" s="207">
        <v>12.015000000000001</v>
      </c>
      <c r="AD181" s="207">
        <v>16.91</v>
      </c>
      <c r="AE181" s="207">
        <v>17.8</v>
      </c>
      <c r="AF181" s="207">
        <v>26.255000000000003</v>
      </c>
      <c r="AG181" s="207">
        <v>29.37</v>
      </c>
      <c r="AH181" s="207">
        <v>31.150000000000002</v>
      </c>
      <c r="AI181" s="207">
        <v>86.33</v>
      </c>
      <c r="AK181" s="208">
        <v>3.3</v>
      </c>
      <c r="AL181" s="30">
        <v>1.3</v>
      </c>
      <c r="AM181" s="214">
        <v>0</v>
      </c>
      <c r="AN181" s="207" t="s">
        <v>618</v>
      </c>
    </row>
    <row r="182" spans="1:44" s="207" customFormat="1">
      <c r="A182" s="295" t="s">
        <v>986</v>
      </c>
      <c r="B182" s="207" t="s">
        <v>665</v>
      </c>
      <c r="C182" s="207" t="s">
        <v>626</v>
      </c>
      <c r="D182" s="207">
        <v>10</v>
      </c>
      <c r="E182" s="207">
        <v>900</v>
      </c>
      <c r="F182" s="207">
        <v>8.2815999999999992</v>
      </c>
      <c r="G182" s="207">
        <v>-0.2918</v>
      </c>
      <c r="H182" s="207">
        <v>7.4300000000000005E-2</v>
      </c>
      <c r="I182" s="208">
        <v>0</v>
      </c>
      <c r="J182" s="208">
        <v>0</v>
      </c>
      <c r="K182" s="207" t="s">
        <v>557</v>
      </c>
      <c r="L182" s="207" t="s">
        <v>442</v>
      </c>
      <c r="M182" s="207">
        <v>567</v>
      </c>
      <c r="O182" s="207">
        <v>2013</v>
      </c>
      <c r="Q182" s="207" t="s">
        <v>610</v>
      </c>
      <c r="R182" s="207" t="s">
        <v>611</v>
      </c>
      <c r="S182" s="207" t="s">
        <v>339</v>
      </c>
      <c r="T182" s="207" t="s">
        <v>612</v>
      </c>
      <c r="U182" s="207" t="s">
        <v>353</v>
      </c>
      <c r="V182" s="207" t="s">
        <v>343</v>
      </c>
      <c r="W182" s="207" t="s">
        <v>344</v>
      </c>
      <c r="X182" s="207" t="s">
        <v>179</v>
      </c>
      <c r="Y182" s="207" t="s">
        <v>356</v>
      </c>
      <c r="Z182" s="208"/>
      <c r="AA182" s="207">
        <v>1</v>
      </c>
      <c r="AB182" s="207">
        <v>1.1499999999999999</v>
      </c>
      <c r="AC182" s="207">
        <v>1.35</v>
      </c>
      <c r="AD182" s="207">
        <v>1.9</v>
      </c>
      <c r="AE182" s="207">
        <v>2</v>
      </c>
      <c r="AF182" s="207">
        <v>2.95</v>
      </c>
      <c r="AG182" s="207">
        <v>3.3</v>
      </c>
      <c r="AH182" s="207">
        <v>3.5</v>
      </c>
      <c r="AI182" s="207">
        <v>9.6999999999999993</v>
      </c>
      <c r="AJ182" s="208"/>
      <c r="AK182" s="208">
        <v>3.3</v>
      </c>
      <c r="AL182" s="27">
        <v>1.3</v>
      </c>
      <c r="AM182" s="214">
        <v>0</v>
      </c>
      <c r="AN182" s="207" t="s">
        <v>629</v>
      </c>
      <c r="AR182" s="217"/>
    </row>
    <row r="183" spans="1:44" s="207" customFormat="1">
      <c r="A183" s="295" t="s">
        <v>986</v>
      </c>
      <c r="B183" s="207" t="s">
        <v>666</v>
      </c>
      <c r="C183" s="207" t="s">
        <v>627</v>
      </c>
      <c r="D183" s="207">
        <v>1</v>
      </c>
      <c r="E183" s="207">
        <v>200</v>
      </c>
      <c r="F183" s="207">
        <v>7.9360999999999997</v>
      </c>
      <c r="G183" s="207">
        <v>0.26985999999999999</v>
      </c>
      <c r="H183" s="207">
        <v>6.7180000000000004E-2</v>
      </c>
      <c r="I183" s="208">
        <v>0</v>
      </c>
      <c r="J183" s="208">
        <v>0</v>
      </c>
      <c r="K183" s="207" t="s">
        <v>557</v>
      </c>
      <c r="L183" s="207" t="s">
        <v>442</v>
      </c>
      <c r="M183" s="207">
        <v>567</v>
      </c>
      <c r="O183" s="207">
        <v>2013</v>
      </c>
      <c r="Q183" s="207" t="s">
        <v>611</v>
      </c>
      <c r="R183" s="207" t="s">
        <v>630</v>
      </c>
      <c r="S183" s="207" t="s">
        <v>337</v>
      </c>
      <c r="T183" s="207" t="s">
        <v>353</v>
      </c>
      <c r="Z183" s="208"/>
      <c r="AA183" s="207">
        <v>1</v>
      </c>
      <c r="AB183" s="207">
        <v>1.1499999999999999</v>
      </c>
      <c r="AC183" s="207">
        <v>1.5</v>
      </c>
      <c r="AD183" s="207">
        <v>2.2000000000000002</v>
      </c>
      <c r="AJ183" s="208"/>
      <c r="AK183" s="208">
        <v>3.3</v>
      </c>
      <c r="AL183" s="27">
        <v>1.3</v>
      </c>
      <c r="AM183" s="214">
        <v>0</v>
      </c>
      <c r="AN183" s="207" t="s">
        <v>628</v>
      </c>
      <c r="AR183" s="217"/>
    </row>
    <row r="184" spans="1:44">
      <c r="A184" s="295" t="s">
        <v>986</v>
      </c>
      <c r="B184" s="207" t="s">
        <v>622</v>
      </c>
      <c r="C184" s="207" t="s">
        <v>625</v>
      </c>
      <c r="D184" s="207">
        <v>1</v>
      </c>
      <c r="E184" s="207">
        <v>700</v>
      </c>
      <c r="F184">
        <v>5.9332000000000003</v>
      </c>
      <c r="G184">
        <v>0.16829</v>
      </c>
      <c r="H184">
        <v>-0.110056</v>
      </c>
      <c r="I184" s="207">
        <v>7.1413000000000004E-2</v>
      </c>
      <c r="J184" s="207">
        <v>-6.3787999999999996E-3</v>
      </c>
      <c r="K184" s="207" t="s">
        <v>557</v>
      </c>
      <c r="L184" s="207" t="s">
        <v>442</v>
      </c>
      <c r="M184" s="26">
        <v>567</v>
      </c>
      <c r="O184">
        <v>2013</v>
      </c>
      <c r="Q184" s="29" t="s">
        <v>619</v>
      </c>
      <c r="R184" s="30" t="s">
        <v>620</v>
      </c>
      <c r="S184" s="30" t="s">
        <v>621</v>
      </c>
      <c r="AA184" s="30">
        <v>1</v>
      </c>
      <c r="AB184" s="30">
        <v>1.4</v>
      </c>
      <c r="AC184" s="30">
        <v>1.8</v>
      </c>
      <c r="AK184" s="208">
        <v>3.3</v>
      </c>
      <c r="AL184" s="30">
        <v>1</v>
      </c>
      <c r="AM184" s="214">
        <v>0</v>
      </c>
      <c r="AN184" t="s">
        <v>624</v>
      </c>
    </row>
    <row r="185" spans="1:44">
      <c r="A185" s="295" t="s">
        <v>986</v>
      </c>
      <c r="B185" s="207" t="s">
        <v>623</v>
      </c>
      <c r="C185" s="207" t="s">
        <v>625</v>
      </c>
      <c r="D185" s="207">
        <v>1</v>
      </c>
      <c r="E185" s="207">
        <v>700</v>
      </c>
      <c r="F185" s="207">
        <v>5.9332000000000003</v>
      </c>
      <c r="G185" s="207">
        <v>0.16829</v>
      </c>
      <c r="H185" s="207">
        <v>-0.110056</v>
      </c>
      <c r="I185" s="207">
        <v>7.1413000000000004E-2</v>
      </c>
      <c r="J185" s="207">
        <v>-6.3787999999999996E-3</v>
      </c>
      <c r="K185" s="207" t="s">
        <v>557</v>
      </c>
      <c r="L185" s="207" t="s">
        <v>442</v>
      </c>
      <c r="M185" s="207">
        <v>567</v>
      </c>
      <c r="N185" s="207"/>
      <c r="O185" s="207">
        <v>2013</v>
      </c>
      <c r="P185" s="207"/>
      <c r="Q185" s="207" t="s">
        <v>619</v>
      </c>
      <c r="R185" s="207" t="s">
        <v>620</v>
      </c>
      <c r="S185" s="207" t="s">
        <v>621</v>
      </c>
      <c r="AA185" s="30">
        <v>0.9</v>
      </c>
      <c r="AB185" s="30">
        <v>1.3</v>
      </c>
      <c r="AC185" s="30">
        <v>1.7</v>
      </c>
      <c r="AK185" s="208">
        <v>3.3</v>
      </c>
      <c r="AL185" s="30">
        <v>1</v>
      </c>
      <c r="AM185" s="214">
        <v>0</v>
      </c>
      <c r="AN185" s="207" t="s">
        <v>624</v>
      </c>
    </row>
    <row r="186" spans="1:44">
      <c r="A186" s="295" t="s">
        <v>986</v>
      </c>
      <c r="B186" t="s">
        <v>640</v>
      </c>
      <c r="C186" t="s">
        <v>648</v>
      </c>
      <c r="D186">
        <v>1000</v>
      </c>
      <c r="E186">
        <v>100000</v>
      </c>
      <c r="F186">
        <v>11.4152</v>
      </c>
      <c r="G186">
        <v>-1.3805000000000001</v>
      </c>
      <c r="H186">
        <v>0.1139</v>
      </c>
      <c r="I186" s="207">
        <v>0</v>
      </c>
      <c r="J186" s="207">
        <v>0</v>
      </c>
      <c r="K186" s="207" t="s">
        <v>557</v>
      </c>
      <c r="L186" s="207" t="s">
        <v>442</v>
      </c>
      <c r="M186" s="207">
        <v>567</v>
      </c>
      <c r="O186" s="208">
        <v>2013</v>
      </c>
      <c r="Q186" s="29" t="s">
        <v>337</v>
      </c>
      <c r="R186" s="30" t="s">
        <v>588</v>
      </c>
      <c r="S186" s="30" t="s">
        <v>353</v>
      </c>
      <c r="T186" s="30" t="s">
        <v>355</v>
      </c>
      <c r="AA186" s="30">
        <v>1</v>
      </c>
      <c r="AB186" s="30">
        <v>1.8</v>
      </c>
      <c r="AC186" s="30">
        <v>2.5</v>
      </c>
      <c r="AD186" s="30">
        <v>5</v>
      </c>
      <c r="AK186" s="208">
        <v>2.15</v>
      </c>
      <c r="AL186" s="30">
        <v>1.61</v>
      </c>
      <c r="AM186" s="30">
        <v>0.05</v>
      </c>
      <c r="AN186" t="s">
        <v>644</v>
      </c>
    </row>
    <row r="187" spans="1:44">
      <c r="A187" s="295" t="s">
        <v>986</v>
      </c>
      <c r="B187" s="207" t="s">
        <v>631</v>
      </c>
      <c r="C187" s="207" t="s">
        <v>648</v>
      </c>
      <c r="D187" s="208">
        <v>1000</v>
      </c>
      <c r="E187" s="208">
        <v>100000</v>
      </c>
      <c r="F187" s="208">
        <v>11.4152</v>
      </c>
      <c r="G187" s="208">
        <v>-1.3805000000000001</v>
      </c>
      <c r="H187" s="208">
        <v>0.1139</v>
      </c>
      <c r="I187" s="208">
        <v>0</v>
      </c>
      <c r="J187" s="208">
        <v>0</v>
      </c>
      <c r="K187" s="207" t="s">
        <v>557</v>
      </c>
      <c r="L187" s="207" t="s">
        <v>442</v>
      </c>
      <c r="M187" s="207">
        <v>567</v>
      </c>
      <c r="O187" s="208">
        <v>2013</v>
      </c>
      <c r="Q187" s="208" t="s">
        <v>337</v>
      </c>
      <c r="R187" s="208" t="s">
        <v>588</v>
      </c>
      <c r="S187" s="208" t="s">
        <v>353</v>
      </c>
      <c r="T187" s="208" t="s">
        <v>355</v>
      </c>
      <c r="AA187" s="208">
        <v>1</v>
      </c>
      <c r="AB187" s="208">
        <v>1.8</v>
      </c>
      <c r="AC187" s="208">
        <v>2.5</v>
      </c>
      <c r="AD187" s="208">
        <v>5</v>
      </c>
      <c r="AK187" s="208">
        <v>2.15</v>
      </c>
      <c r="AL187" s="215">
        <v>1.61</v>
      </c>
      <c r="AM187" s="30">
        <v>0.05</v>
      </c>
      <c r="AN187" s="207" t="s">
        <v>644</v>
      </c>
    </row>
    <row r="188" spans="1:44">
      <c r="A188" s="295" t="s">
        <v>986</v>
      </c>
      <c r="B188" s="207" t="s">
        <v>632</v>
      </c>
      <c r="C188" s="207" t="s">
        <v>648</v>
      </c>
      <c r="D188" s="208">
        <v>1000</v>
      </c>
      <c r="E188" s="208">
        <v>100000</v>
      </c>
      <c r="F188" s="208">
        <v>11.4152</v>
      </c>
      <c r="G188" s="208">
        <v>-1.3805000000000001</v>
      </c>
      <c r="H188" s="208">
        <v>0.1139</v>
      </c>
      <c r="I188" s="208">
        <v>0</v>
      </c>
      <c r="J188" s="208">
        <v>0</v>
      </c>
      <c r="K188" s="207" t="s">
        <v>557</v>
      </c>
      <c r="L188" s="207" t="s">
        <v>442</v>
      </c>
      <c r="M188" s="207">
        <v>567</v>
      </c>
      <c r="O188" s="208">
        <v>2013</v>
      </c>
      <c r="Q188" s="208" t="s">
        <v>337</v>
      </c>
      <c r="R188" s="208" t="s">
        <v>588</v>
      </c>
      <c r="S188" s="208" t="s">
        <v>353</v>
      </c>
      <c r="T188" s="208" t="s">
        <v>355</v>
      </c>
      <c r="AA188" s="208">
        <v>1</v>
      </c>
      <c r="AB188" s="208">
        <v>1.8</v>
      </c>
      <c r="AC188" s="208">
        <v>2.5</v>
      </c>
      <c r="AD188" s="208">
        <v>5</v>
      </c>
      <c r="AK188" s="208">
        <v>2.15</v>
      </c>
      <c r="AL188" s="215">
        <v>1.61</v>
      </c>
      <c r="AM188" s="214">
        <v>0.05</v>
      </c>
      <c r="AN188" s="207" t="s">
        <v>644</v>
      </c>
    </row>
    <row r="189" spans="1:44">
      <c r="A189" s="295" t="s">
        <v>986</v>
      </c>
      <c r="B189" s="207" t="s">
        <v>633</v>
      </c>
      <c r="C189" s="207" t="s">
        <v>648</v>
      </c>
      <c r="D189" s="208">
        <v>1000</v>
      </c>
      <c r="E189" s="208">
        <v>100000</v>
      </c>
      <c r="F189" s="208">
        <v>11.4152</v>
      </c>
      <c r="G189" s="208">
        <v>-1.3805000000000001</v>
      </c>
      <c r="H189" s="208">
        <v>0.1139</v>
      </c>
      <c r="I189" s="208">
        <v>0</v>
      </c>
      <c r="J189" s="208">
        <v>0</v>
      </c>
      <c r="K189" s="207" t="s">
        <v>557</v>
      </c>
      <c r="L189" s="207" t="s">
        <v>442</v>
      </c>
      <c r="M189" s="207">
        <v>567</v>
      </c>
      <c r="O189" s="208">
        <v>2013</v>
      </c>
      <c r="Q189" s="208" t="s">
        <v>337</v>
      </c>
      <c r="R189" s="208" t="s">
        <v>588</v>
      </c>
      <c r="S189" s="208" t="s">
        <v>353</v>
      </c>
      <c r="T189" s="208" t="s">
        <v>355</v>
      </c>
      <c r="AA189" s="208">
        <v>1</v>
      </c>
      <c r="AB189" s="208">
        <v>1.8</v>
      </c>
      <c r="AC189" s="208">
        <v>2.5</v>
      </c>
      <c r="AD189" s="208">
        <v>5</v>
      </c>
      <c r="AK189" s="208">
        <v>2.15</v>
      </c>
      <c r="AL189" s="215">
        <v>1.61</v>
      </c>
      <c r="AM189" s="214">
        <v>0.05</v>
      </c>
      <c r="AN189" s="207" t="s">
        <v>644</v>
      </c>
    </row>
    <row r="190" spans="1:44">
      <c r="A190" s="295" t="s">
        <v>986</v>
      </c>
      <c r="B190" s="207" t="s">
        <v>634</v>
      </c>
      <c r="C190" s="207" t="s">
        <v>648</v>
      </c>
      <c r="D190" s="208">
        <v>1000</v>
      </c>
      <c r="E190" s="208">
        <v>100000</v>
      </c>
      <c r="F190" s="208">
        <v>11.4152</v>
      </c>
      <c r="G190" s="208">
        <v>-1.3805000000000001</v>
      </c>
      <c r="H190" s="208">
        <v>0.1139</v>
      </c>
      <c r="I190" s="208">
        <v>0</v>
      </c>
      <c r="J190" s="208">
        <v>0</v>
      </c>
      <c r="K190" s="207" t="s">
        <v>557</v>
      </c>
      <c r="L190" s="207" t="s">
        <v>442</v>
      </c>
      <c r="M190" s="207">
        <v>567</v>
      </c>
      <c r="O190" s="208">
        <v>2013</v>
      </c>
      <c r="Q190" s="208" t="s">
        <v>337</v>
      </c>
      <c r="R190" s="208" t="s">
        <v>588</v>
      </c>
      <c r="S190" s="208" t="s">
        <v>353</v>
      </c>
      <c r="T190" s="208" t="s">
        <v>355</v>
      </c>
      <c r="AA190" s="208">
        <v>1</v>
      </c>
      <c r="AB190" s="208">
        <v>1.8</v>
      </c>
      <c r="AC190" s="208">
        <v>2.5</v>
      </c>
      <c r="AD190" s="208">
        <v>5</v>
      </c>
      <c r="AK190" s="208">
        <v>2.15</v>
      </c>
      <c r="AL190" s="215">
        <v>1.61</v>
      </c>
      <c r="AM190" s="214">
        <v>0.05</v>
      </c>
      <c r="AN190" s="207" t="s">
        <v>644</v>
      </c>
    </row>
    <row r="191" spans="1:44">
      <c r="A191" s="295" t="s">
        <v>986</v>
      </c>
      <c r="B191" s="207" t="s">
        <v>641</v>
      </c>
      <c r="C191" s="207" t="s">
        <v>648</v>
      </c>
      <c r="D191" s="207">
        <v>1000</v>
      </c>
      <c r="E191" s="207">
        <v>20000</v>
      </c>
      <c r="F191">
        <v>12.166700000000001</v>
      </c>
      <c r="G191">
        <v>-1.6407</v>
      </c>
      <c r="H191">
        <v>0.1328</v>
      </c>
      <c r="I191" s="208">
        <v>0</v>
      </c>
      <c r="J191" s="208">
        <v>0</v>
      </c>
      <c r="K191" s="207" t="s">
        <v>557</v>
      </c>
      <c r="L191" s="207" t="s">
        <v>442</v>
      </c>
      <c r="M191" s="207">
        <v>567</v>
      </c>
      <c r="O191" s="208">
        <v>2013</v>
      </c>
      <c r="Q191" s="208" t="s">
        <v>337</v>
      </c>
      <c r="R191" s="208" t="s">
        <v>588</v>
      </c>
      <c r="S191" s="208" t="s">
        <v>353</v>
      </c>
      <c r="T191" s="208" t="s">
        <v>355</v>
      </c>
      <c r="AA191" s="208">
        <v>1</v>
      </c>
      <c r="AB191" s="208">
        <v>1.8</v>
      </c>
      <c r="AC191" s="208">
        <v>2.5</v>
      </c>
      <c r="AD191" s="208">
        <v>5</v>
      </c>
      <c r="AK191" s="208">
        <v>2.15</v>
      </c>
      <c r="AL191" s="215">
        <v>1.61</v>
      </c>
      <c r="AM191" s="214">
        <v>0.05</v>
      </c>
      <c r="AN191" s="207" t="s">
        <v>644</v>
      </c>
    </row>
    <row r="192" spans="1:44">
      <c r="A192" s="295" t="s">
        <v>986</v>
      </c>
      <c r="B192" s="207" t="s">
        <v>635</v>
      </c>
      <c r="C192" s="207" t="s">
        <v>648</v>
      </c>
      <c r="D192" s="208">
        <v>1000</v>
      </c>
      <c r="E192" s="208">
        <v>20000</v>
      </c>
      <c r="F192" s="208">
        <v>12.166700000000001</v>
      </c>
      <c r="G192" s="208">
        <v>-1.6407</v>
      </c>
      <c r="H192" s="208">
        <v>0.1328</v>
      </c>
      <c r="I192" s="208">
        <v>0</v>
      </c>
      <c r="J192" s="208">
        <v>0</v>
      </c>
      <c r="K192" s="207" t="s">
        <v>557</v>
      </c>
      <c r="L192" s="207" t="s">
        <v>442</v>
      </c>
      <c r="M192" s="207">
        <v>567</v>
      </c>
      <c r="O192" s="208">
        <v>2013</v>
      </c>
      <c r="Q192" s="208" t="s">
        <v>337</v>
      </c>
      <c r="R192" s="208" t="s">
        <v>588</v>
      </c>
      <c r="S192" s="208" t="s">
        <v>353</v>
      </c>
      <c r="T192" s="208" t="s">
        <v>355</v>
      </c>
      <c r="AA192" s="208">
        <v>1</v>
      </c>
      <c r="AB192" s="208">
        <v>1.8</v>
      </c>
      <c r="AC192" s="208">
        <v>2.5</v>
      </c>
      <c r="AD192" s="208">
        <v>5</v>
      </c>
      <c r="AK192" s="208">
        <v>2.15</v>
      </c>
      <c r="AL192" s="215">
        <v>1.61</v>
      </c>
      <c r="AM192" s="214">
        <v>0.05</v>
      </c>
      <c r="AN192" s="207" t="s">
        <v>644</v>
      </c>
    </row>
    <row r="193" spans="1:40">
      <c r="A193" s="295" t="s">
        <v>986</v>
      </c>
      <c r="B193" s="207" t="s">
        <v>636</v>
      </c>
      <c r="C193" s="207" t="s">
        <v>648</v>
      </c>
      <c r="D193" s="208">
        <v>1000</v>
      </c>
      <c r="E193" s="208">
        <v>20000</v>
      </c>
      <c r="F193" s="208">
        <v>12.166700000000001</v>
      </c>
      <c r="G193" s="208">
        <v>-1.6407</v>
      </c>
      <c r="H193" s="208">
        <v>0.1328</v>
      </c>
      <c r="I193" s="208">
        <v>0</v>
      </c>
      <c r="J193" s="208">
        <v>0</v>
      </c>
      <c r="K193" s="207" t="s">
        <v>557</v>
      </c>
      <c r="L193" s="207" t="s">
        <v>442</v>
      </c>
      <c r="M193" s="207">
        <v>567</v>
      </c>
      <c r="O193" s="208">
        <v>2013</v>
      </c>
      <c r="Q193" s="208" t="s">
        <v>337</v>
      </c>
      <c r="R193" s="208" t="s">
        <v>588</v>
      </c>
      <c r="S193" s="208" t="s">
        <v>353</v>
      </c>
      <c r="T193" s="208" t="s">
        <v>355</v>
      </c>
      <c r="AA193" s="208">
        <v>1</v>
      </c>
      <c r="AB193" s="208">
        <v>1.8</v>
      </c>
      <c r="AC193" s="208">
        <v>2.5</v>
      </c>
      <c r="AD193" s="208">
        <v>5</v>
      </c>
      <c r="AK193" s="208">
        <v>2.15</v>
      </c>
      <c r="AL193" s="215">
        <v>1.61</v>
      </c>
      <c r="AM193" s="214">
        <v>0.05</v>
      </c>
      <c r="AN193" s="207" t="s">
        <v>644</v>
      </c>
    </row>
    <row r="194" spans="1:40">
      <c r="A194" s="295" t="s">
        <v>986</v>
      </c>
      <c r="B194" s="207" t="s">
        <v>637</v>
      </c>
      <c r="C194" s="207" t="s">
        <v>648</v>
      </c>
      <c r="D194" s="208">
        <v>1000</v>
      </c>
      <c r="E194" s="208">
        <v>20000</v>
      </c>
      <c r="F194" s="208">
        <v>12.166700000000001</v>
      </c>
      <c r="G194" s="208">
        <v>-1.6407</v>
      </c>
      <c r="H194" s="208">
        <v>0.1328</v>
      </c>
      <c r="I194" s="208">
        <v>0</v>
      </c>
      <c r="J194" s="208">
        <v>0</v>
      </c>
      <c r="K194" s="207" t="s">
        <v>557</v>
      </c>
      <c r="L194" s="207" t="s">
        <v>442</v>
      </c>
      <c r="M194" s="207">
        <v>567</v>
      </c>
      <c r="O194" s="208">
        <v>2013</v>
      </c>
      <c r="Q194" s="208" t="s">
        <v>337</v>
      </c>
      <c r="R194" s="208" t="s">
        <v>588</v>
      </c>
      <c r="S194" s="208" t="s">
        <v>353</v>
      </c>
      <c r="T194" s="208" t="s">
        <v>355</v>
      </c>
      <c r="AA194" s="208">
        <v>1</v>
      </c>
      <c r="AB194" s="208">
        <v>1.8</v>
      </c>
      <c r="AC194" s="208">
        <v>2.5</v>
      </c>
      <c r="AD194" s="208">
        <v>5</v>
      </c>
      <c r="AK194" s="208">
        <v>2.15</v>
      </c>
      <c r="AL194" s="215">
        <v>1.61</v>
      </c>
      <c r="AM194" s="214">
        <v>0.05</v>
      </c>
      <c r="AN194" s="207" t="s">
        <v>644</v>
      </c>
    </row>
    <row r="195" spans="1:40">
      <c r="A195" s="295" t="s">
        <v>986</v>
      </c>
      <c r="B195" s="207" t="s">
        <v>642</v>
      </c>
      <c r="C195" s="207" t="s">
        <v>648</v>
      </c>
      <c r="D195" s="207">
        <v>1000</v>
      </c>
      <c r="E195" s="207">
        <v>800000</v>
      </c>
      <c r="F195">
        <v>9.6486999999999998</v>
      </c>
      <c r="G195">
        <v>-0.97565999999999997</v>
      </c>
      <c r="H195">
        <v>8.5319999999999993E-2</v>
      </c>
      <c r="I195" s="208">
        <v>0</v>
      </c>
      <c r="J195" s="208">
        <v>0</v>
      </c>
      <c r="K195" s="207" t="s">
        <v>557</v>
      </c>
      <c r="L195" s="207" t="s">
        <v>442</v>
      </c>
      <c r="M195" s="207">
        <v>567</v>
      </c>
      <c r="O195" s="208">
        <v>2013</v>
      </c>
      <c r="Q195" s="208" t="s">
        <v>337</v>
      </c>
      <c r="R195" s="208" t="s">
        <v>588</v>
      </c>
      <c r="S195" s="208" t="s">
        <v>353</v>
      </c>
      <c r="T195" s="208" t="s">
        <v>355</v>
      </c>
      <c r="AA195" s="208">
        <v>1</v>
      </c>
      <c r="AB195" s="208">
        <v>1.8</v>
      </c>
      <c r="AC195" s="208">
        <v>2.5</v>
      </c>
      <c r="AD195" s="208">
        <v>5</v>
      </c>
      <c r="AK195" s="208">
        <v>2.15</v>
      </c>
      <c r="AL195" s="215">
        <v>1.61</v>
      </c>
      <c r="AM195" s="214">
        <v>0.05</v>
      </c>
      <c r="AN195" s="207" t="s">
        <v>644</v>
      </c>
    </row>
    <row r="196" spans="1:40">
      <c r="A196" s="295" t="s">
        <v>986</v>
      </c>
      <c r="B196" s="207" t="s">
        <v>638</v>
      </c>
      <c r="C196" s="207" t="s">
        <v>648</v>
      </c>
      <c r="D196" s="208">
        <v>1000</v>
      </c>
      <c r="E196" s="208">
        <v>800000</v>
      </c>
      <c r="F196" s="208">
        <v>9.6486999999999998</v>
      </c>
      <c r="G196" s="208">
        <v>-0.97565999999999997</v>
      </c>
      <c r="H196" s="208">
        <v>8.5319999999999993E-2</v>
      </c>
      <c r="I196" s="208">
        <v>0</v>
      </c>
      <c r="J196" s="208">
        <v>0</v>
      </c>
      <c r="K196" s="207" t="s">
        <v>557</v>
      </c>
      <c r="L196" s="207" t="s">
        <v>442</v>
      </c>
      <c r="M196" s="207">
        <v>567</v>
      </c>
      <c r="O196" s="208">
        <v>2013</v>
      </c>
      <c r="Q196" s="208" t="s">
        <v>337</v>
      </c>
      <c r="R196" s="208" t="s">
        <v>588</v>
      </c>
      <c r="S196" s="208" t="s">
        <v>353</v>
      </c>
      <c r="T196" s="208" t="s">
        <v>355</v>
      </c>
      <c r="AA196" s="208">
        <v>1</v>
      </c>
      <c r="AB196" s="208">
        <v>1.8</v>
      </c>
      <c r="AC196" s="208">
        <v>2.5</v>
      </c>
      <c r="AD196" s="208">
        <v>5</v>
      </c>
      <c r="AK196" s="208">
        <v>2.15</v>
      </c>
      <c r="AL196" s="215">
        <v>1.61</v>
      </c>
      <c r="AM196" s="214">
        <v>0.05</v>
      </c>
      <c r="AN196" s="207" t="s">
        <v>644</v>
      </c>
    </row>
    <row r="197" spans="1:40">
      <c r="A197" s="295" t="s">
        <v>986</v>
      </c>
      <c r="B197" s="207" t="s">
        <v>639</v>
      </c>
      <c r="C197" s="207" t="s">
        <v>648</v>
      </c>
      <c r="D197" s="208">
        <v>1000</v>
      </c>
      <c r="E197" s="208">
        <v>800000</v>
      </c>
      <c r="F197" s="208">
        <v>9.6486999999999998</v>
      </c>
      <c r="G197" s="208">
        <v>-0.97565999999999997</v>
      </c>
      <c r="H197" s="208">
        <v>8.5319999999999993E-2</v>
      </c>
      <c r="I197" s="208">
        <v>0</v>
      </c>
      <c r="J197" s="208">
        <v>0</v>
      </c>
      <c r="K197" s="207" t="s">
        <v>557</v>
      </c>
      <c r="L197" s="207" t="s">
        <v>442</v>
      </c>
      <c r="M197" s="207">
        <v>567</v>
      </c>
      <c r="O197" s="208">
        <v>2013</v>
      </c>
      <c r="Q197" s="208" t="s">
        <v>337</v>
      </c>
      <c r="R197" s="208" t="s">
        <v>588</v>
      </c>
      <c r="S197" s="208" t="s">
        <v>353</v>
      </c>
      <c r="T197" s="208" t="s">
        <v>355</v>
      </c>
      <c r="AA197" s="208">
        <v>1</v>
      </c>
      <c r="AB197" s="208">
        <v>1.8</v>
      </c>
      <c r="AC197" s="208">
        <v>2.5</v>
      </c>
      <c r="AD197" s="208">
        <v>5</v>
      </c>
      <c r="AK197" s="208">
        <v>2.15</v>
      </c>
      <c r="AL197" s="215">
        <v>1.61</v>
      </c>
      <c r="AM197" s="214">
        <v>0.05</v>
      </c>
      <c r="AN197" s="207" t="s">
        <v>644</v>
      </c>
    </row>
    <row r="198" spans="1:40">
      <c r="A198" s="295" t="s">
        <v>986</v>
      </c>
      <c r="B198" s="207" t="s">
        <v>643</v>
      </c>
      <c r="C198" s="207" t="s">
        <v>648</v>
      </c>
      <c r="D198" s="207">
        <v>1000</v>
      </c>
      <c r="E198" s="207">
        <v>15000</v>
      </c>
      <c r="F198">
        <v>6.1632800000000003</v>
      </c>
      <c r="G198">
        <v>-0.28634999999999999</v>
      </c>
      <c r="H198">
        <v>4.8660000000000002E-2</v>
      </c>
      <c r="I198" s="208">
        <v>0</v>
      </c>
      <c r="J198" s="208">
        <v>0</v>
      </c>
      <c r="K198" s="207" t="s">
        <v>557</v>
      </c>
      <c r="L198" s="207" t="s">
        <v>442</v>
      </c>
      <c r="M198" s="207">
        <v>567</v>
      </c>
      <c r="O198" s="208">
        <v>2013</v>
      </c>
      <c r="Q198" s="208" t="s">
        <v>337</v>
      </c>
      <c r="R198" s="208" t="s">
        <v>588</v>
      </c>
      <c r="S198" s="208" t="s">
        <v>353</v>
      </c>
      <c r="T198" s="208" t="s">
        <v>355</v>
      </c>
      <c r="AA198" s="208">
        <v>1</v>
      </c>
      <c r="AB198" s="208">
        <v>1.8</v>
      </c>
      <c r="AC198" s="208">
        <v>2.5</v>
      </c>
      <c r="AD198" s="208">
        <v>5</v>
      </c>
      <c r="AK198" s="208">
        <v>2.15</v>
      </c>
      <c r="AL198" s="215">
        <v>1.61</v>
      </c>
      <c r="AM198" s="214">
        <v>0.05</v>
      </c>
      <c r="AN198" s="207" t="s">
        <v>644</v>
      </c>
    </row>
    <row r="199" spans="1:40">
      <c r="A199" s="295" t="s">
        <v>986</v>
      </c>
      <c r="B199" t="s">
        <v>646</v>
      </c>
      <c r="C199" t="s">
        <v>627</v>
      </c>
      <c r="D199">
        <v>5</v>
      </c>
      <c r="E199">
        <v>1000</v>
      </c>
      <c r="F199">
        <v>7.0186999999999999</v>
      </c>
      <c r="G199">
        <v>0.79</v>
      </c>
      <c r="H199">
        <v>0</v>
      </c>
      <c r="I199" s="208">
        <v>0</v>
      </c>
      <c r="J199" s="208">
        <v>0</v>
      </c>
      <c r="K199" s="207" t="s">
        <v>557</v>
      </c>
      <c r="L199" s="207" t="s">
        <v>442</v>
      </c>
      <c r="M199" s="207">
        <v>567</v>
      </c>
      <c r="O199" s="208">
        <v>2013</v>
      </c>
      <c r="Q199" s="29" t="s">
        <v>181</v>
      </c>
      <c r="R199" s="30" t="s">
        <v>337</v>
      </c>
      <c r="S199" s="208" t="s">
        <v>588</v>
      </c>
      <c r="T199" s="208" t="s">
        <v>353</v>
      </c>
      <c r="U199" s="208" t="s">
        <v>355</v>
      </c>
      <c r="V199" s="208"/>
      <c r="AA199" s="30">
        <v>0.6</v>
      </c>
      <c r="AB199" s="208">
        <v>1</v>
      </c>
      <c r="AC199" s="208">
        <v>1.8</v>
      </c>
      <c r="AD199" s="208">
        <v>2.5</v>
      </c>
      <c r="AE199" s="208">
        <v>5</v>
      </c>
      <c r="AF199" s="208"/>
      <c r="AK199" s="208">
        <v>2.15</v>
      </c>
      <c r="AL199" s="30">
        <v>1.49</v>
      </c>
      <c r="AM199" s="30">
        <v>0.1</v>
      </c>
      <c r="AN199" t="s">
        <v>669</v>
      </c>
    </row>
    <row r="200" spans="1:40">
      <c r="A200" s="295" t="s">
        <v>986</v>
      </c>
      <c r="B200" t="s">
        <v>647</v>
      </c>
      <c r="C200" s="207" t="s">
        <v>627</v>
      </c>
      <c r="D200">
        <v>1</v>
      </c>
      <c r="E200">
        <v>1000</v>
      </c>
      <c r="F200">
        <v>7.7175099999999999</v>
      </c>
      <c r="G200">
        <v>0.79320000000000002</v>
      </c>
      <c r="H200">
        <v>-1.29E-2</v>
      </c>
      <c r="I200" s="208">
        <v>0</v>
      </c>
      <c r="J200" s="208">
        <v>0</v>
      </c>
      <c r="K200" s="207" t="s">
        <v>557</v>
      </c>
      <c r="L200" s="207" t="s">
        <v>442</v>
      </c>
      <c r="M200" s="207">
        <v>567</v>
      </c>
      <c r="O200" s="208">
        <v>2013</v>
      </c>
      <c r="Q200" s="208" t="s">
        <v>337</v>
      </c>
      <c r="R200" s="208" t="s">
        <v>588</v>
      </c>
      <c r="S200" s="208" t="s">
        <v>353</v>
      </c>
      <c r="T200" s="208" t="s">
        <v>355</v>
      </c>
      <c r="U200" s="208"/>
      <c r="AA200" s="208">
        <v>1</v>
      </c>
      <c r="AB200" s="208">
        <v>1.8</v>
      </c>
      <c r="AC200" s="208">
        <v>2.5</v>
      </c>
      <c r="AD200" s="208">
        <v>5</v>
      </c>
      <c r="AE200" s="208"/>
      <c r="AK200" s="208">
        <v>2.15</v>
      </c>
      <c r="AL200" s="30">
        <v>1.49</v>
      </c>
      <c r="AM200" s="30">
        <v>0.1</v>
      </c>
      <c r="AN200" s="208" t="s">
        <v>645</v>
      </c>
    </row>
    <row r="201" spans="1:40">
      <c r="A201" s="295" t="s">
        <v>986</v>
      </c>
      <c r="B201" t="s">
        <v>672</v>
      </c>
      <c r="C201" t="s">
        <v>667</v>
      </c>
      <c r="D201" s="208">
        <v>100</v>
      </c>
      <c r="E201" s="208">
        <v>20000</v>
      </c>
      <c r="F201">
        <v>4.6761999999999997</v>
      </c>
      <c r="G201">
        <v>1.23</v>
      </c>
      <c r="H201">
        <v>0</v>
      </c>
      <c r="I201" s="208">
        <v>0</v>
      </c>
      <c r="J201" s="208">
        <v>0</v>
      </c>
      <c r="K201" s="208" t="s">
        <v>557</v>
      </c>
      <c r="L201" s="208" t="s">
        <v>442</v>
      </c>
      <c r="M201" s="208">
        <v>567</v>
      </c>
      <c r="N201" s="208"/>
      <c r="O201" s="208">
        <v>2013</v>
      </c>
      <c r="Q201" s="29" t="s">
        <v>610</v>
      </c>
      <c r="R201" s="30" t="s">
        <v>337</v>
      </c>
      <c r="S201" s="30" t="s">
        <v>353</v>
      </c>
      <c r="T201" s="30" t="s">
        <v>355</v>
      </c>
      <c r="AA201" s="30">
        <v>1</v>
      </c>
      <c r="AB201" s="30">
        <v>1</v>
      </c>
      <c r="AC201" s="30">
        <v>2.5</v>
      </c>
      <c r="AD201" s="30">
        <v>5</v>
      </c>
      <c r="AK201" s="208">
        <v>2.15</v>
      </c>
      <c r="AL201" s="215">
        <v>1.49</v>
      </c>
      <c r="AM201" s="214">
        <v>0.1</v>
      </c>
      <c r="AN201" t="s">
        <v>668</v>
      </c>
    </row>
    <row r="202" spans="1:40">
      <c r="A202" s="295" t="s">
        <v>986</v>
      </c>
      <c r="B202" s="208" t="s">
        <v>673</v>
      </c>
      <c r="C202" s="208" t="s">
        <v>667</v>
      </c>
      <c r="D202" s="208">
        <v>100</v>
      </c>
      <c r="E202" s="208">
        <v>20000</v>
      </c>
      <c r="F202" s="208">
        <v>4.6761999999999997</v>
      </c>
      <c r="G202" s="208">
        <v>1.23</v>
      </c>
      <c r="H202" s="208">
        <v>0</v>
      </c>
      <c r="I202" s="208">
        <v>0</v>
      </c>
      <c r="J202" s="208">
        <v>0</v>
      </c>
      <c r="K202" s="208" t="s">
        <v>557</v>
      </c>
      <c r="L202" s="208" t="s">
        <v>442</v>
      </c>
      <c r="M202" s="208">
        <v>567</v>
      </c>
      <c r="N202" s="208"/>
      <c r="O202" s="208">
        <v>2013</v>
      </c>
      <c r="Q202" s="208" t="s">
        <v>610</v>
      </c>
      <c r="R202" s="208" t="s">
        <v>337</v>
      </c>
      <c r="S202" s="208" t="s">
        <v>353</v>
      </c>
      <c r="T202" s="208" t="s">
        <v>355</v>
      </c>
      <c r="AA202" s="208">
        <v>1.1499999999999999</v>
      </c>
      <c r="AB202" s="208">
        <v>1.1499999999999999</v>
      </c>
      <c r="AC202" s="208">
        <v>2.875</v>
      </c>
      <c r="AD202" s="208">
        <v>5.75</v>
      </c>
      <c r="AK202" s="208">
        <v>2.15</v>
      </c>
      <c r="AL202" s="215">
        <v>1.49</v>
      </c>
      <c r="AM202" s="214">
        <v>0.1</v>
      </c>
      <c r="AN202" s="208" t="s">
        <v>670</v>
      </c>
    </row>
    <row r="203" spans="1:40">
      <c r="A203" s="295" t="s">
        <v>986</v>
      </c>
      <c r="B203" s="208" t="s">
        <v>674</v>
      </c>
      <c r="C203" s="208" t="s">
        <v>667</v>
      </c>
      <c r="D203" s="208">
        <v>100</v>
      </c>
      <c r="E203" s="208">
        <v>20000</v>
      </c>
      <c r="F203" s="208">
        <v>4.6761999999999997</v>
      </c>
      <c r="G203" s="208">
        <v>1.23</v>
      </c>
      <c r="H203" s="208">
        <v>0</v>
      </c>
      <c r="I203" s="208">
        <v>0</v>
      </c>
      <c r="J203" s="208">
        <v>0</v>
      </c>
      <c r="K203" s="208" t="s">
        <v>557</v>
      </c>
      <c r="L203" s="208" t="s">
        <v>442</v>
      </c>
      <c r="M203" s="208">
        <v>567</v>
      </c>
      <c r="N203" s="208"/>
      <c r="O203" s="208">
        <v>2013</v>
      </c>
      <c r="Q203" s="208" t="s">
        <v>610</v>
      </c>
      <c r="R203" s="208" t="s">
        <v>337</v>
      </c>
      <c r="S203" s="208" t="s">
        <v>353</v>
      </c>
      <c r="T203" s="208" t="s">
        <v>355</v>
      </c>
      <c r="AA203" s="208">
        <v>1.25</v>
      </c>
      <c r="AB203" s="208">
        <v>1.25</v>
      </c>
      <c r="AC203" s="208">
        <v>3.125</v>
      </c>
      <c r="AD203" s="208">
        <v>6.25</v>
      </c>
      <c r="AK203" s="208">
        <v>2.15</v>
      </c>
      <c r="AL203" s="215">
        <v>1.49</v>
      </c>
      <c r="AM203" s="214">
        <v>0.1</v>
      </c>
      <c r="AN203" s="208" t="s">
        <v>671</v>
      </c>
    </row>
    <row r="204" spans="1:40">
      <c r="A204" s="295" t="s">
        <v>986</v>
      </c>
      <c r="B204" s="208" t="s">
        <v>675</v>
      </c>
      <c r="C204" s="208" t="s">
        <v>667</v>
      </c>
      <c r="D204" s="208">
        <v>200</v>
      </c>
      <c r="E204" s="208">
        <v>30000</v>
      </c>
      <c r="F204" s="208">
        <v>9.1553000000000004</v>
      </c>
      <c r="G204" s="208">
        <v>0.63</v>
      </c>
      <c r="H204">
        <v>0</v>
      </c>
      <c r="I204" s="208">
        <v>0</v>
      </c>
      <c r="J204" s="208">
        <v>0</v>
      </c>
      <c r="K204" s="208" t="s">
        <v>557</v>
      </c>
      <c r="L204" s="208" t="s">
        <v>442</v>
      </c>
      <c r="M204" s="208">
        <v>567</v>
      </c>
      <c r="N204" s="208"/>
      <c r="O204" s="208">
        <v>2013</v>
      </c>
      <c r="Q204" s="208" t="s">
        <v>610</v>
      </c>
      <c r="R204" s="208" t="s">
        <v>337</v>
      </c>
      <c r="S204" s="208" t="s">
        <v>353</v>
      </c>
      <c r="T204" s="208" t="s">
        <v>355</v>
      </c>
      <c r="AA204" s="208">
        <v>1</v>
      </c>
      <c r="AB204" s="208">
        <v>1</v>
      </c>
      <c r="AC204" s="208">
        <v>2.5</v>
      </c>
      <c r="AD204" s="208">
        <v>5</v>
      </c>
      <c r="AK204" s="208">
        <v>2.15</v>
      </c>
      <c r="AL204" s="215">
        <v>1.49</v>
      </c>
      <c r="AM204" s="214">
        <v>0.1</v>
      </c>
      <c r="AN204" s="208" t="s">
        <v>668</v>
      </c>
    </row>
    <row r="205" spans="1:40">
      <c r="A205" s="295" t="s">
        <v>986</v>
      </c>
      <c r="B205" s="208" t="s">
        <v>676</v>
      </c>
      <c r="C205" s="208" t="s">
        <v>667</v>
      </c>
      <c r="D205" s="208">
        <v>200</v>
      </c>
      <c r="E205" s="208">
        <v>30000</v>
      </c>
      <c r="F205" s="208">
        <v>9.1553000000000004</v>
      </c>
      <c r="G205" s="208">
        <v>0.63</v>
      </c>
      <c r="H205" s="208">
        <v>0</v>
      </c>
      <c r="I205" s="208">
        <v>0</v>
      </c>
      <c r="J205" s="208">
        <v>0</v>
      </c>
      <c r="K205" s="208" t="s">
        <v>557</v>
      </c>
      <c r="L205" s="208" t="s">
        <v>442</v>
      </c>
      <c r="M205" s="208">
        <v>567</v>
      </c>
      <c r="N205" s="208"/>
      <c r="O205" s="208">
        <v>2013</v>
      </c>
      <c r="Q205" s="208" t="s">
        <v>610</v>
      </c>
      <c r="R205" s="208" t="s">
        <v>337</v>
      </c>
      <c r="S205" s="208" t="s">
        <v>353</v>
      </c>
      <c r="T205" s="208" t="s">
        <v>355</v>
      </c>
      <c r="AA205" s="208">
        <v>1.1499999999999999</v>
      </c>
      <c r="AB205" s="208">
        <v>1.1499999999999999</v>
      </c>
      <c r="AC205" s="208">
        <v>2.875</v>
      </c>
      <c r="AD205" s="208">
        <v>5.75</v>
      </c>
      <c r="AK205" s="208">
        <v>2.15</v>
      </c>
      <c r="AL205" s="215">
        <v>1.49</v>
      </c>
      <c r="AM205" s="214">
        <v>0.1</v>
      </c>
      <c r="AN205" s="208" t="s">
        <v>670</v>
      </c>
    </row>
    <row r="206" spans="1:40">
      <c r="A206" s="295" t="s">
        <v>986</v>
      </c>
      <c r="B206" s="208" t="s">
        <v>677</v>
      </c>
      <c r="C206" s="208" t="s">
        <v>667</v>
      </c>
      <c r="D206" s="208">
        <v>200</v>
      </c>
      <c r="E206" s="208">
        <v>30000</v>
      </c>
      <c r="F206" s="208">
        <v>9.1553000000000004</v>
      </c>
      <c r="G206" s="208">
        <v>0.63</v>
      </c>
      <c r="H206" s="208">
        <v>0</v>
      </c>
      <c r="I206" s="208">
        <v>0</v>
      </c>
      <c r="J206" s="208">
        <v>0</v>
      </c>
      <c r="K206" s="208" t="s">
        <v>557</v>
      </c>
      <c r="L206" s="208" t="s">
        <v>442</v>
      </c>
      <c r="M206" s="208">
        <v>567</v>
      </c>
      <c r="N206" s="208"/>
      <c r="O206" s="208">
        <v>2013</v>
      </c>
      <c r="Q206" s="208" t="s">
        <v>610</v>
      </c>
      <c r="R206" s="208" t="s">
        <v>337</v>
      </c>
      <c r="S206" s="208" t="s">
        <v>353</v>
      </c>
      <c r="T206" s="208" t="s">
        <v>355</v>
      </c>
      <c r="AA206" s="208">
        <v>1.25</v>
      </c>
      <c r="AB206" s="208">
        <v>1.25</v>
      </c>
      <c r="AC206" s="208">
        <v>3.125</v>
      </c>
      <c r="AD206" s="208">
        <v>6.25</v>
      </c>
      <c r="AK206" s="208">
        <v>2.15</v>
      </c>
      <c r="AL206" s="215">
        <v>1.49</v>
      </c>
      <c r="AM206" s="214">
        <v>0.1</v>
      </c>
      <c r="AN206" s="208" t="s">
        <v>671</v>
      </c>
    </row>
    <row r="207" spans="1:40">
      <c r="A207" s="295" t="s">
        <v>986</v>
      </c>
      <c r="B207" s="208" t="s">
        <v>678</v>
      </c>
      <c r="C207" s="208" t="s">
        <v>667</v>
      </c>
      <c r="D207" s="208">
        <v>10</v>
      </c>
      <c r="E207" s="208">
        <v>750</v>
      </c>
      <c r="F207">
        <v>8.2495999999999992</v>
      </c>
      <c r="G207">
        <v>0.72430000000000005</v>
      </c>
      <c r="H207">
        <v>0</v>
      </c>
      <c r="I207" s="208">
        <v>0</v>
      </c>
      <c r="J207" s="208">
        <v>0</v>
      </c>
      <c r="K207" s="208" t="s">
        <v>557</v>
      </c>
      <c r="L207" s="208" t="s">
        <v>442</v>
      </c>
      <c r="M207" s="208">
        <v>567</v>
      </c>
      <c r="N207" s="208"/>
      <c r="O207" s="208">
        <v>2013</v>
      </c>
      <c r="Q207" s="208" t="s">
        <v>610</v>
      </c>
      <c r="R207" s="208" t="s">
        <v>337</v>
      </c>
      <c r="S207" s="208" t="s">
        <v>353</v>
      </c>
      <c r="T207" s="208" t="s">
        <v>355</v>
      </c>
      <c r="AA207" s="208">
        <v>1</v>
      </c>
      <c r="AB207" s="208">
        <v>1</v>
      </c>
      <c r="AC207" s="208">
        <v>2.5</v>
      </c>
      <c r="AD207" s="208">
        <v>5</v>
      </c>
      <c r="AK207" s="208">
        <v>2.15</v>
      </c>
      <c r="AL207" s="215">
        <v>1.49</v>
      </c>
      <c r="AM207" s="214">
        <v>0.1</v>
      </c>
      <c r="AN207" s="208" t="s">
        <v>668</v>
      </c>
    </row>
    <row r="208" spans="1:40">
      <c r="A208" s="295" t="s">
        <v>986</v>
      </c>
      <c r="B208" s="208" t="s">
        <v>679</v>
      </c>
      <c r="C208" s="208" t="s">
        <v>667</v>
      </c>
      <c r="D208" s="208">
        <v>10</v>
      </c>
      <c r="E208" s="208">
        <v>750</v>
      </c>
      <c r="F208" s="208">
        <v>8.2495999999999992</v>
      </c>
      <c r="G208" s="208">
        <v>0.72430000000000005</v>
      </c>
      <c r="H208" s="208">
        <v>0</v>
      </c>
      <c r="I208" s="208">
        <v>0</v>
      </c>
      <c r="J208" s="208">
        <v>0</v>
      </c>
      <c r="K208" s="208" t="s">
        <v>557</v>
      </c>
      <c r="L208" s="208" t="s">
        <v>442</v>
      </c>
      <c r="M208" s="208">
        <v>567</v>
      </c>
      <c r="N208" s="208"/>
      <c r="O208" s="208">
        <v>2013</v>
      </c>
      <c r="Q208" s="208" t="s">
        <v>610</v>
      </c>
      <c r="R208" s="208" t="s">
        <v>337</v>
      </c>
      <c r="S208" s="208" t="s">
        <v>353</v>
      </c>
      <c r="T208" s="208" t="s">
        <v>355</v>
      </c>
      <c r="AA208" s="208">
        <v>1.1499999999999999</v>
      </c>
      <c r="AB208" s="208">
        <v>1.1499999999999999</v>
      </c>
      <c r="AC208" s="208">
        <v>2.875</v>
      </c>
      <c r="AD208" s="208">
        <v>5.75</v>
      </c>
      <c r="AK208" s="208">
        <v>2.15</v>
      </c>
      <c r="AL208" s="215">
        <v>1.49</v>
      </c>
      <c r="AM208" s="214">
        <v>0.1</v>
      </c>
      <c r="AN208" s="208" t="s">
        <v>670</v>
      </c>
    </row>
    <row r="209" spans="1:44">
      <c r="A209" s="295" t="s">
        <v>986</v>
      </c>
      <c r="B209" s="208" t="s">
        <v>680</v>
      </c>
      <c r="C209" s="208" t="s">
        <v>667</v>
      </c>
      <c r="D209" s="208">
        <v>10</v>
      </c>
      <c r="E209" s="208">
        <v>750</v>
      </c>
      <c r="F209" s="208">
        <v>8.2495999999999992</v>
      </c>
      <c r="G209" s="208">
        <v>0.72430000000000005</v>
      </c>
      <c r="H209" s="208">
        <v>0</v>
      </c>
      <c r="I209" s="208">
        <v>0</v>
      </c>
      <c r="J209" s="208">
        <v>0</v>
      </c>
      <c r="K209" s="208" t="s">
        <v>557</v>
      </c>
      <c r="L209" s="208" t="s">
        <v>442</v>
      </c>
      <c r="M209" s="208">
        <v>567</v>
      </c>
      <c r="N209" s="208"/>
      <c r="O209" s="208">
        <v>2013</v>
      </c>
      <c r="Q209" s="208" t="s">
        <v>610</v>
      </c>
      <c r="R209" s="208" t="s">
        <v>337</v>
      </c>
      <c r="S209" s="208" t="s">
        <v>353</v>
      </c>
      <c r="T209" s="208" t="s">
        <v>355</v>
      </c>
      <c r="AA209" s="208">
        <v>1.25</v>
      </c>
      <c r="AB209" s="208">
        <v>1.25</v>
      </c>
      <c r="AC209" s="208">
        <v>3.125</v>
      </c>
      <c r="AD209" s="208">
        <v>6.25</v>
      </c>
      <c r="AK209" s="208">
        <v>2.15</v>
      </c>
      <c r="AL209" s="215">
        <v>1.49</v>
      </c>
      <c r="AM209" s="214">
        <v>0.1</v>
      </c>
      <c r="AN209" s="208" t="s">
        <v>671</v>
      </c>
    </row>
    <row r="210" spans="1:44" s="209" customFormat="1">
      <c r="AR210" s="217"/>
    </row>
    <row r="211" spans="1:44" s="29" customFormat="1">
      <c r="B211" s="29" t="s">
        <v>743</v>
      </c>
      <c r="I211" s="207"/>
      <c r="J211" s="207"/>
      <c r="R211" s="30"/>
      <c r="S211" s="30"/>
      <c r="T211" s="30"/>
      <c r="U211" s="30"/>
      <c r="V211" s="30"/>
      <c r="W211" s="30"/>
      <c r="X211" s="30"/>
      <c r="Y211" s="30"/>
      <c r="Z211" s="208"/>
      <c r="AA211" s="30"/>
      <c r="AB211" s="30"/>
      <c r="AC211" s="30"/>
      <c r="AD211" s="30"/>
      <c r="AE211" s="30"/>
      <c r="AF211" s="30"/>
      <c r="AG211" s="30"/>
      <c r="AH211" s="30"/>
      <c r="AI211" s="30"/>
      <c r="AJ211" s="208"/>
      <c r="AL211" s="30"/>
      <c r="AM211" s="30"/>
      <c r="AR211" s="217"/>
    </row>
    <row r="212" spans="1:44" s="29" customFormat="1">
      <c r="A212" s="295" t="s">
        <v>743</v>
      </c>
      <c r="B212" s="29" t="s">
        <v>234</v>
      </c>
      <c r="C212" s="29" t="s">
        <v>235</v>
      </c>
      <c r="D212" s="29">
        <v>200</v>
      </c>
      <c r="E212" s="29">
        <v>5000</v>
      </c>
      <c r="F212" s="29">
        <v>4450</v>
      </c>
      <c r="G212" s="29">
        <v>57</v>
      </c>
      <c r="H212" s="29">
        <v>0.8</v>
      </c>
      <c r="I212" s="207"/>
      <c r="J212" s="207"/>
      <c r="K212" s="29" t="s">
        <v>297</v>
      </c>
      <c r="L212" s="200" t="s">
        <v>443</v>
      </c>
      <c r="M212" s="29">
        <v>532.9</v>
      </c>
      <c r="N212" s="29">
        <v>2281.6</v>
      </c>
      <c r="O212" s="29">
        <v>2010</v>
      </c>
      <c r="Q212" s="31" t="s">
        <v>337</v>
      </c>
      <c r="R212" s="31" t="s">
        <v>338</v>
      </c>
      <c r="S212" s="31" t="s">
        <v>339</v>
      </c>
      <c r="T212" s="31" t="s">
        <v>340</v>
      </c>
      <c r="U212" s="31" t="s">
        <v>341</v>
      </c>
      <c r="V212" s="31" t="s">
        <v>342</v>
      </c>
      <c r="W212" s="31" t="s">
        <v>343</v>
      </c>
      <c r="X212" s="31" t="s">
        <v>344</v>
      </c>
      <c r="Y212" s="31" t="s">
        <v>345</v>
      </c>
      <c r="Z212" s="31"/>
      <c r="AA212" s="31">
        <v>1</v>
      </c>
      <c r="AB212" s="31">
        <v>1.07</v>
      </c>
      <c r="AC212" s="31">
        <v>1.1000000000000001</v>
      </c>
      <c r="AD212" s="31">
        <v>1.3</v>
      </c>
      <c r="AE212" s="31">
        <v>1.3</v>
      </c>
      <c r="AF212" s="31">
        <v>1.5</v>
      </c>
      <c r="AG212" s="31">
        <v>1.55</v>
      </c>
      <c r="AH212" s="31">
        <v>1.65</v>
      </c>
      <c r="AI212" s="31">
        <v>1.7</v>
      </c>
      <c r="AJ212" s="31"/>
      <c r="AK212" s="31">
        <v>2.15</v>
      </c>
      <c r="AL212" s="215">
        <v>1.49</v>
      </c>
      <c r="AM212" s="214">
        <v>0.1</v>
      </c>
      <c r="AN212" s="31"/>
      <c r="AR212" s="217"/>
    </row>
    <row r="213" spans="1:44" s="29" customFormat="1">
      <c r="A213" s="295" t="s">
        <v>743</v>
      </c>
      <c r="B213" s="29" t="s">
        <v>236</v>
      </c>
      <c r="C213" s="29" t="s">
        <v>225</v>
      </c>
      <c r="D213" s="29">
        <v>75</v>
      </c>
      <c r="E213" s="29">
        <v>30000</v>
      </c>
      <c r="F213" s="29">
        <v>580000</v>
      </c>
      <c r="G213" s="29">
        <v>20000</v>
      </c>
      <c r="H213" s="29">
        <v>0.6</v>
      </c>
      <c r="I213" s="207"/>
      <c r="J213" s="207"/>
      <c r="K213" s="29" t="s">
        <v>297</v>
      </c>
      <c r="L213" s="200" t="s">
        <v>443</v>
      </c>
      <c r="M213" s="29">
        <v>532.9</v>
      </c>
      <c r="N213" s="29">
        <v>2281.6</v>
      </c>
      <c r="O213" s="29">
        <v>2010</v>
      </c>
      <c r="Q213" s="31" t="s">
        <v>337</v>
      </c>
      <c r="R213" s="31" t="s">
        <v>338</v>
      </c>
      <c r="S213" s="31" t="s">
        <v>339</v>
      </c>
      <c r="T213" s="31" t="s">
        <v>340</v>
      </c>
      <c r="U213" s="31" t="s">
        <v>341</v>
      </c>
      <c r="V213" s="31" t="s">
        <v>342</v>
      </c>
      <c r="W213" s="31" t="s">
        <v>343</v>
      </c>
      <c r="X213" s="31" t="s">
        <v>344</v>
      </c>
      <c r="Y213" s="31" t="s">
        <v>345</v>
      </c>
      <c r="Z213" s="31"/>
      <c r="AA213" s="31">
        <v>1</v>
      </c>
      <c r="AB213" s="31">
        <v>1.07</v>
      </c>
      <c r="AC213" s="31">
        <v>1.1000000000000001</v>
      </c>
      <c r="AD213" s="31">
        <v>1.3</v>
      </c>
      <c r="AE213" s="31">
        <v>1.3</v>
      </c>
      <c r="AF213" s="31">
        <v>1.5</v>
      </c>
      <c r="AG213" s="31">
        <v>1.55</v>
      </c>
      <c r="AH213" s="31">
        <v>1.65</v>
      </c>
      <c r="AI213" s="31">
        <v>1.7</v>
      </c>
      <c r="AJ213" s="31"/>
      <c r="AK213" s="31">
        <v>2.15</v>
      </c>
      <c r="AL213" s="215">
        <v>1.49</v>
      </c>
      <c r="AM213" s="214">
        <v>0.1</v>
      </c>
      <c r="AR213" s="217"/>
    </row>
    <row r="214" spans="1:44" s="29" customFormat="1">
      <c r="A214" s="295" t="s">
        <v>743</v>
      </c>
      <c r="B214" s="29" t="s">
        <v>237</v>
      </c>
      <c r="C214" s="29" t="s">
        <v>225</v>
      </c>
      <c r="D214" s="29">
        <v>93</v>
      </c>
      <c r="E214" s="29">
        <v>16800</v>
      </c>
      <c r="F214" s="29">
        <v>260000</v>
      </c>
      <c r="G214" s="29">
        <v>2700</v>
      </c>
      <c r="H214" s="29">
        <v>0.75</v>
      </c>
      <c r="I214" s="207"/>
      <c r="J214" s="207"/>
      <c r="K214" s="29" t="s">
        <v>297</v>
      </c>
      <c r="L214" s="200" t="s">
        <v>443</v>
      </c>
      <c r="M214" s="29">
        <v>532.9</v>
      </c>
      <c r="N214" s="29">
        <v>2281.6</v>
      </c>
      <c r="O214" s="29">
        <v>2010</v>
      </c>
      <c r="Q214" s="31" t="s">
        <v>337</v>
      </c>
      <c r="R214" s="31" t="s">
        <v>338</v>
      </c>
      <c r="S214" s="31" t="s">
        <v>339</v>
      </c>
      <c r="T214" s="31" t="s">
        <v>340</v>
      </c>
      <c r="U214" s="31" t="s">
        <v>341</v>
      </c>
      <c r="V214" s="31" t="s">
        <v>342</v>
      </c>
      <c r="W214" s="31" t="s">
        <v>343</v>
      </c>
      <c r="X214" s="31" t="s">
        <v>344</v>
      </c>
      <c r="Y214" s="31" t="s">
        <v>345</v>
      </c>
      <c r="Z214" s="31"/>
      <c r="AA214" s="31">
        <v>1</v>
      </c>
      <c r="AB214" s="31">
        <v>1.07</v>
      </c>
      <c r="AC214" s="31">
        <v>1.1000000000000001</v>
      </c>
      <c r="AD214" s="31">
        <v>1.3</v>
      </c>
      <c r="AE214" s="31">
        <v>1.3</v>
      </c>
      <c r="AF214" s="31">
        <v>1.5</v>
      </c>
      <c r="AG214" s="31">
        <v>1.55</v>
      </c>
      <c r="AH214" s="31">
        <v>1.65</v>
      </c>
      <c r="AI214" s="31">
        <v>1.7</v>
      </c>
      <c r="AJ214" s="31"/>
      <c r="AK214" s="31">
        <v>2.15</v>
      </c>
      <c r="AL214" s="215">
        <v>1.49</v>
      </c>
      <c r="AM214" s="214">
        <v>0.1</v>
      </c>
      <c r="AR214" s="217"/>
    </row>
    <row r="215" spans="1:44" s="29" customFormat="1">
      <c r="A215" s="295" t="s">
        <v>743</v>
      </c>
      <c r="B215" s="29" t="s">
        <v>274</v>
      </c>
      <c r="C215" s="29" t="s">
        <v>275</v>
      </c>
      <c r="D215" s="29">
        <v>0.2</v>
      </c>
      <c r="E215" s="29">
        <v>126</v>
      </c>
      <c r="F215" s="29">
        <v>8000</v>
      </c>
      <c r="G215" s="29">
        <v>240</v>
      </c>
      <c r="H215" s="29">
        <v>0.9</v>
      </c>
      <c r="I215" s="207"/>
      <c r="J215" s="207"/>
      <c r="K215" s="29" t="s">
        <v>297</v>
      </c>
      <c r="L215" s="200" t="s">
        <v>443</v>
      </c>
      <c r="M215" s="29">
        <v>532.9</v>
      </c>
      <c r="N215" s="29">
        <v>2281.6</v>
      </c>
      <c r="O215" s="29">
        <v>2010</v>
      </c>
      <c r="Q215" s="31" t="s">
        <v>337</v>
      </c>
      <c r="R215" s="31" t="s">
        <v>338</v>
      </c>
      <c r="S215" s="31" t="s">
        <v>339</v>
      </c>
      <c r="T215" s="31" t="s">
        <v>340</v>
      </c>
      <c r="U215" s="31" t="s">
        <v>341</v>
      </c>
      <c r="V215" s="31" t="s">
        <v>342</v>
      </c>
      <c r="W215" s="31" t="s">
        <v>343</v>
      </c>
      <c r="X215" s="31" t="s">
        <v>344</v>
      </c>
      <c r="Y215" s="31" t="s">
        <v>345</v>
      </c>
      <c r="Z215" s="31"/>
      <c r="AA215" s="31">
        <v>1</v>
      </c>
      <c r="AB215" s="31">
        <v>1.07</v>
      </c>
      <c r="AC215" s="31">
        <v>1.1000000000000001</v>
      </c>
      <c r="AD215" s="31">
        <v>1.3</v>
      </c>
      <c r="AE215" s="31">
        <v>1.3</v>
      </c>
      <c r="AF215" s="31">
        <v>1.5</v>
      </c>
      <c r="AG215" s="31">
        <v>1.55</v>
      </c>
      <c r="AH215" s="31">
        <v>1.65</v>
      </c>
      <c r="AI215" s="31">
        <v>1.7</v>
      </c>
      <c r="AJ215" s="31"/>
      <c r="AK215" s="31">
        <v>3.3</v>
      </c>
      <c r="AL215" s="31">
        <v>1.3</v>
      </c>
      <c r="AM215" s="31">
        <v>0</v>
      </c>
      <c r="AR215" s="217"/>
    </row>
    <row r="216" spans="1:44" s="29" customFormat="1">
      <c r="A216" s="295" t="s">
        <v>743</v>
      </c>
      <c r="B216" s="29" t="s">
        <v>276</v>
      </c>
      <c r="C216" s="29" t="s">
        <v>233</v>
      </c>
      <c r="D216" s="29">
        <v>1</v>
      </c>
      <c r="E216" s="29">
        <v>2500</v>
      </c>
      <c r="F216" s="29">
        <v>-1100</v>
      </c>
      <c r="G216" s="29">
        <v>2100</v>
      </c>
      <c r="H216" s="29">
        <v>0.6</v>
      </c>
      <c r="I216" s="207"/>
      <c r="J216" s="207"/>
      <c r="K216" s="29" t="s">
        <v>297</v>
      </c>
      <c r="L216" s="200" t="s">
        <v>443</v>
      </c>
      <c r="M216" s="29">
        <v>532.9</v>
      </c>
      <c r="N216" s="29">
        <v>2281.6</v>
      </c>
      <c r="O216" s="29">
        <v>2010</v>
      </c>
      <c r="Q216" s="31" t="s">
        <v>337</v>
      </c>
      <c r="R216" s="31" t="s">
        <v>338</v>
      </c>
      <c r="S216" s="31" t="s">
        <v>339</v>
      </c>
      <c r="T216" s="31" t="s">
        <v>340</v>
      </c>
      <c r="U216" s="31" t="s">
        <v>341</v>
      </c>
      <c r="V216" s="31" t="s">
        <v>342</v>
      </c>
      <c r="W216" s="31" t="s">
        <v>343</v>
      </c>
      <c r="X216" s="31" t="s">
        <v>344</v>
      </c>
      <c r="Y216" s="31" t="s">
        <v>345</v>
      </c>
      <c r="Z216" s="31"/>
      <c r="AA216" s="31">
        <v>1</v>
      </c>
      <c r="AB216" s="31">
        <v>1.07</v>
      </c>
      <c r="AC216" s="31">
        <v>1.1000000000000001</v>
      </c>
      <c r="AD216" s="31">
        <v>1.3</v>
      </c>
      <c r="AE216" s="31">
        <v>1.3</v>
      </c>
      <c r="AF216" s="31">
        <v>1.5</v>
      </c>
      <c r="AG216" s="31">
        <v>1.55</v>
      </c>
      <c r="AH216" s="31">
        <v>1.65</v>
      </c>
      <c r="AI216" s="31">
        <v>1.7</v>
      </c>
      <c r="AJ216" s="31"/>
      <c r="AK216" s="31">
        <v>3.3</v>
      </c>
      <c r="AL216" s="31">
        <v>1.3</v>
      </c>
      <c r="AM216" s="31">
        <v>0</v>
      </c>
      <c r="AR216" s="217"/>
    </row>
    <row r="217" spans="1:44" s="29" customFormat="1">
      <c r="A217" s="295" t="s">
        <v>743</v>
      </c>
      <c r="B217" s="29" t="s">
        <v>277</v>
      </c>
      <c r="C217" s="29" t="s">
        <v>233</v>
      </c>
      <c r="D217" s="29">
        <v>100</v>
      </c>
      <c r="E217" s="29">
        <v>20000</v>
      </c>
      <c r="F217" s="29">
        <v>-14000</v>
      </c>
      <c r="G217" s="29">
        <v>1900</v>
      </c>
      <c r="H217" s="29">
        <v>0.75</v>
      </c>
      <c r="I217" s="207"/>
      <c r="J217" s="207"/>
      <c r="K217" s="29" t="s">
        <v>297</v>
      </c>
      <c r="L217" s="200" t="s">
        <v>443</v>
      </c>
      <c r="M217" s="29">
        <v>532.9</v>
      </c>
      <c r="N217" s="29">
        <v>2281.6</v>
      </c>
      <c r="O217" s="29">
        <v>2010</v>
      </c>
      <c r="Q217" s="31" t="s">
        <v>337</v>
      </c>
      <c r="R217" s="31" t="s">
        <v>338</v>
      </c>
      <c r="S217" s="31" t="s">
        <v>339</v>
      </c>
      <c r="T217" s="31" t="s">
        <v>340</v>
      </c>
      <c r="U217" s="31" t="s">
        <v>341</v>
      </c>
      <c r="V217" s="31" t="s">
        <v>342</v>
      </c>
      <c r="W217" s="31" t="s">
        <v>343</v>
      </c>
      <c r="X217" s="31" t="s">
        <v>344</v>
      </c>
      <c r="Y217" s="31" t="s">
        <v>345</v>
      </c>
      <c r="Z217" s="31"/>
      <c r="AA217" s="31">
        <v>1</v>
      </c>
      <c r="AB217" s="31">
        <v>1.07</v>
      </c>
      <c r="AC217" s="31">
        <v>1.1000000000000001</v>
      </c>
      <c r="AD217" s="31">
        <v>1.3</v>
      </c>
      <c r="AE217" s="31">
        <v>1.3</v>
      </c>
      <c r="AF217" s="31">
        <v>1.5</v>
      </c>
      <c r="AG217" s="31">
        <v>1.55</v>
      </c>
      <c r="AH217" s="31">
        <v>1.65</v>
      </c>
      <c r="AI217" s="31">
        <v>1.7</v>
      </c>
      <c r="AJ217" s="31"/>
      <c r="AK217" s="31">
        <v>3.3</v>
      </c>
      <c r="AL217" s="31">
        <v>1.3</v>
      </c>
      <c r="AM217" s="31">
        <v>0</v>
      </c>
      <c r="AR217" s="217"/>
    </row>
    <row r="218" spans="1:44" s="29" customFormat="1">
      <c r="I218" s="207"/>
      <c r="J218" s="207"/>
      <c r="R218" s="30"/>
      <c r="S218" s="30"/>
      <c r="T218" s="30"/>
      <c r="U218" s="30"/>
      <c r="V218" s="30"/>
      <c r="W218" s="30"/>
      <c r="X218" s="30"/>
      <c r="Y218" s="30"/>
      <c r="Z218" s="208"/>
      <c r="AJ218" s="208"/>
      <c r="AL218" s="30"/>
      <c r="AM218" s="30"/>
      <c r="AR218" s="217"/>
    </row>
    <row r="219" spans="1:44" s="29" customFormat="1">
      <c r="B219" s="29" t="s">
        <v>772</v>
      </c>
      <c r="I219" s="207"/>
      <c r="J219" s="207"/>
      <c r="R219" s="30"/>
      <c r="S219" s="30"/>
      <c r="T219" s="30"/>
      <c r="U219" s="30"/>
      <c r="V219" s="30"/>
      <c r="W219" s="30"/>
      <c r="X219" s="30"/>
      <c r="Y219" s="30"/>
      <c r="Z219" s="208"/>
      <c r="AA219" s="30"/>
      <c r="AB219" s="30"/>
      <c r="AC219" s="30"/>
      <c r="AD219" s="30"/>
      <c r="AE219" s="30"/>
      <c r="AF219" s="30"/>
      <c r="AG219" s="30"/>
      <c r="AH219" s="30"/>
      <c r="AI219" s="30"/>
      <c r="AJ219" s="208"/>
      <c r="AL219" s="30"/>
      <c r="AM219" s="30"/>
      <c r="AR219" s="217"/>
    </row>
    <row r="220" spans="1:44" s="29" customFormat="1">
      <c r="A220" s="295" t="s">
        <v>772</v>
      </c>
      <c r="B220" s="29" t="s">
        <v>278</v>
      </c>
      <c r="C220" s="29" t="s">
        <v>279</v>
      </c>
      <c r="D220" s="29">
        <v>0.5</v>
      </c>
      <c r="E220" s="29">
        <v>100</v>
      </c>
      <c r="F220" s="29">
        <v>61500</v>
      </c>
      <c r="G220" s="29">
        <v>32500</v>
      </c>
      <c r="H220" s="29">
        <v>0.8</v>
      </c>
      <c r="I220" s="207"/>
      <c r="J220" s="207"/>
      <c r="K220" s="29" t="s">
        <v>297</v>
      </c>
      <c r="L220" s="200" t="s">
        <v>443</v>
      </c>
      <c r="M220" s="213">
        <v>532.9</v>
      </c>
      <c r="N220" s="29">
        <v>2281.6</v>
      </c>
      <c r="O220" s="29">
        <v>2010</v>
      </c>
      <c r="P220" s="29" t="s">
        <v>255</v>
      </c>
      <c r="Q220" s="31" t="s">
        <v>337</v>
      </c>
      <c r="R220" s="31" t="s">
        <v>338</v>
      </c>
      <c r="S220" s="31" t="s">
        <v>339</v>
      </c>
      <c r="T220" s="31" t="s">
        <v>340</v>
      </c>
      <c r="U220" s="31" t="s">
        <v>341</v>
      </c>
      <c r="V220" s="31" t="s">
        <v>342</v>
      </c>
      <c r="W220" s="31" t="s">
        <v>343</v>
      </c>
      <c r="X220" s="31" t="s">
        <v>344</v>
      </c>
      <c r="Y220" s="31" t="s">
        <v>345</v>
      </c>
      <c r="Z220" s="31" t="s">
        <v>1719</v>
      </c>
      <c r="AA220" s="30">
        <v>0.76923076923076916</v>
      </c>
      <c r="AB220" s="30">
        <v>0.82307692307692315</v>
      </c>
      <c r="AC220" s="30">
        <v>0.84615384615384615</v>
      </c>
      <c r="AD220" s="30">
        <v>1</v>
      </c>
      <c r="AE220" s="30">
        <v>1</v>
      </c>
      <c r="AF220" s="30">
        <v>1.1538461538461537</v>
      </c>
      <c r="AG220" s="30">
        <v>1.1923076923076923</v>
      </c>
      <c r="AH220" s="30">
        <v>1.2692307692307692</v>
      </c>
      <c r="AI220" s="30">
        <v>1.3076923076923077</v>
      </c>
      <c r="AJ220" s="363">
        <v>1</v>
      </c>
      <c r="AK220" s="29" t="s">
        <v>162</v>
      </c>
      <c r="AL220" s="30">
        <v>1.7</v>
      </c>
      <c r="AM220" s="30">
        <v>0.3</v>
      </c>
      <c r="AR220" s="217"/>
    </row>
    <row r="221" spans="1:44" s="29" customFormat="1">
      <c r="A221" s="295" t="s">
        <v>772</v>
      </c>
      <c r="B221" s="29" t="s">
        <v>280</v>
      </c>
      <c r="C221" s="29" t="s">
        <v>279</v>
      </c>
      <c r="D221" s="29">
        <v>0.5</v>
      </c>
      <c r="E221" s="29">
        <v>25</v>
      </c>
      <c r="F221" s="29">
        <v>12800</v>
      </c>
      <c r="G221" s="29">
        <v>88200</v>
      </c>
      <c r="H221" s="29">
        <v>0.4</v>
      </c>
      <c r="I221" s="207"/>
      <c r="J221" s="207"/>
      <c r="K221" s="29" t="s">
        <v>297</v>
      </c>
      <c r="L221" s="200" t="s">
        <v>443</v>
      </c>
      <c r="M221" s="29">
        <v>532.9</v>
      </c>
      <c r="N221" s="29">
        <v>2281.6</v>
      </c>
      <c r="O221" s="29">
        <v>2010</v>
      </c>
      <c r="Q221" s="31" t="s">
        <v>755</v>
      </c>
      <c r="R221" s="31"/>
      <c r="S221" s="31"/>
      <c r="T221" s="31"/>
      <c r="U221" s="31"/>
      <c r="V221" s="31"/>
      <c r="W221" s="31"/>
      <c r="X221" s="31"/>
      <c r="Y221" s="31"/>
      <c r="Z221" s="31"/>
      <c r="AA221" s="31">
        <v>1</v>
      </c>
      <c r="AB221" s="31"/>
      <c r="AC221" s="31"/>
      <c r="AD221" s="31"/>
      <c r="AE221" s="31"/>
      <c r="AF221" s="31"/>
      <c r="AG221" s="31"/>
      <c r="AH221" s="31"/>
      <c r="AI221" s="31"/>
      <c r="AJ221" s="31"/>
      <c r="AK221" s="29" t="s">
        <v>162</v>
      </c>
      <c r="AL221" s="31">
        <v>1.7</v>
      </c>
      <c r="AM221" s="31">
        <v>0.3</v>
      </c>
      <c r="AR221" s="217"/>
    </row>
    <row r="222" spans="1:44" s="29" customFormat="1">
      <c r="I222" s="207"/>
      <c r="J222" s="207"/>
      <c r="R222" s="30"/>
      <c r="S222" s="30"/>
      <c r="T222" s="30"/>
      <c r="U222" s="30"/>
      <c r="V222" s="30"/>
      <c r="W222" s="30"/>
      <c r="X222" s="30"/>
      <c r="Y222" s="30"/>
      <c r="Z222" s="208"/>
      <c r="AA222" s="30"/>
      <c r="AB222" s="30"/>
      <c r="AC222" s="30"/>
      <c r="AD222" s="30"/>
      <c r="AE222" s="30"/>
      <c r="AF222" s="30"/>
      <c r="AG222" s="30"/>
      <c r="AH222" s="30"/>
      <c r="AI222" s="30"/>
      <c r="AJ222" s="208"/>
      <c r="AL222" s="30"/>
      <c r="AM222" s="30"/>
      <c r="AR222" s="217"/>
    </row>
    <row r="223" spans="1:44">
      <c r="B223" t="s">
        <v>526</v>
      </c>
      <c r="P223" s="208"/>
    </row>
    <row r="224" spans="1:44">
      <c r="A224" t="s">
        <v>526</v>
      </c>
      <c r="B224" t="s">
        <v>527</v>
      </c>
      <c r="C224" t="s">
        <v>531</v>
      </c>
      <c r="D224">
        <v>6</v>
      </c>
      <c r="E224">
        <v>40</v>
      </c>
      <c r="F224">
        <v>0</v>
      </c>
      <c r="G224">
        <v>6575</v>
      </c>
      <c r="H224">
        <v>0.34</v>
      </c>
      <c r="K224" s="203" t="s">
        <v>297</v>
      </c>
      <c r="L224" s="203" t="s">
        <v>442</v>
      </c>
      <c r="M224" s="31">
        <v>567</v>
      </c>
      <c r="N224" s="31"/>
      <c r="O224" s="31">
        <v>2013</v>
      </c>
      <c r="P224" s="208" t="s">
        <v>337</v>
      </c>
      <c r="Q224" s="208" t="s">
        <v>337</v>
      </c>
      <c r="R224" s="208" t="s">
        <v>180</v>
      </c>
      <c r="S224" s="208" t="s">
        <v>353</v>
      </c>
      <c r="T224" s="208" t="s">
        <v>179</v>
      </c>
      <c r="U224" s="208" t="s">
        <v>344</v>
      </c>
      <c r="V224" s="208" t="s">
        <v>713</v>
      </c>
      <c r="W224" s="208" t="s">
        <v>356</v>
      </c>
      <c r="X224" s="208"/>
      <c r="Y224" s="208"/>
      <c r="AA224" s="208">
        <v>1</v>
      </c>
      <c r="AB224" s="208">
        <v>1.2</v>
      </c>
      <c r="AC224" s="208">
        <v>2</v>
      </c>
      <c r="AD224" s="208">
        <v>2.5</v>
      </c>
      <c r="AE224" s="208">
        <v>2.7</v>
      </c>
      <c r="AF224" s="208">
        <v>3</v>
      </c>
      <c r="AG224" s="208">
        <v>6</v>
      </c>
      <c r="AH224" s="203"/>
      <c r="AI224" s="203"/>
      <c r="AK224" s="208">
        <v>1.73</v>
      </c>
      <c r="AL224" s="203">
        <v>1.85</v>
      </c>
      <c r="AM224" s="203">
        <v>0.05</v>
      </c>
      <c r="AN224" s="203"/>
    </row>
    <row r="225" spans="1:40">
      <c r="A225" s="203" t="s">
        <v>526</v>
      </c>
      <c r="B225" t="s">
        <v>528</v>
      </c>
      <c r="C225" s="203" t="s">
        <v>531</v>
      </c>
      <c r="D225">
        <v>32</v>
      </c>
      <c r="E225">
        <v>60</v>
      </c>
      <c r="F225">
        <v>0</v>
      </c>
      <c r="G225">
        <v>1588</v>
      </c>
      <c r="H225">
        <v>0.71</v>
      </c>
      <c r="K225" s="203" t="s">
        <v>297</v>
      </c>
      <c r="L225" s="203" t="s">
        <v>442</v>
      </c>
      <c r="M225" s="31">
        <v>567</v>
      </c>
      <c r="N225" s="31"/>
      <c r="O225" s="31">
        <v>2013</v>
      </c>
      <c r="P225" s="208" t="s">
        <v>337</v>
      </c>
      <c r="Q225" s="208" t="s">
        <v>337</v>
      </c>
      <c r="R225" s="208" t="s">
        <v>180</v>
      </c>
      <c r="S225" s="208" t="s">
        <v>353</v>
      </c>
      <c r="T225" s="208" t="s">
        <v>179</v>
      </c>
      <c r="U225" s="208" t="s">
        <v>344</v>
      </c>
      <c r="V225" s="208" t="s">
        <v>713</v>
      </c>
      <c r="W225" s="208" t="s">
        <v>356</v>
      </c>
      <c r="X225" s="208"/>
      <c r="Y225" s="208"/>
      <c r="AA225" s="208">
        <v>1</v>
      </c>
      <c r="AB225" s="208">
        <v>1.2</v>
      </c>
      <c r="AC225" s="208">
        <v>2</v>
      </c>
      <c r="AD225" s="208">
        <v>2.5</v>
      </c>
      <c r="AE225" s="208">
        <v>2.7</v>
      </c>
      <c r="AF225" s="208">
        <v>3</v>
      </c>
      <c r="AG225" s="208">
        <v>6</v>
      </c>
      <c r="AH225" s="203"/>
      <c r="AI225" s="203"/>
      <c r="AK225" s="208">
        <v>1.73</v>
      </c>
      <c r="AL225" s="203">
        <v>1.85</v>
      </c>
      <c r="AM225" s="203">
        <v>0.05</v>
      </c>
      <c r="AN225" s="203"/>
    </row>
    <row r="226" spans="1:40">
      <c r="A226" s="203" t="s">
        <v>526</v>
      </c>
      <c r="B226" s="203" t="s">
        <v>529</v>
      </c>
      <c r="C226" s="203" t="s">
        <v>531</v>
      </c>
      <c r="D226">
        <v>32</v>
      </c>
      <c r="E226">
        <v>192</v>
      </c>
      <c r="F226">
        <v>0</v>
      </c>
      <c r="G226">
        <v>1395</v>
      </c>
      <c r="H226">
        <v>0.78</v>
      </c>
      <c r="K226" s="203" t="s">
        <v>297</v>
      </c>
      <c r="L226" s="203" t="s">
        <v>442</v>
      </c>
      <c r="M226" s="31">
        <v>567</v>
      </c>
      <c r="N226" s="31"/>
      <c r="O226" s="31">
        <v>2013</v>
      </c>
      <c r="P226" s="208" t="s">
        <v>337</v>
      </c>
      <c r="Q226" s="208" t="s">
        <v>337</v>
      </c>
      <c r="R226" s="208" t="s">
        <v>180</v>
      </c>
      <c r="S226" s="208" t="s">
        <v>353</v>
      </c>
      <c r="T226" s="208" t="s">
        <v>179</v>
      </c>
      <c r="U226" s="208" t="s">
        <v>344</v>
      </c>
      <c r="V226" s="208" t="s">
        <v>713</v>
      </c>
      <c r="W226" s="208" t="s">
        <v>356</v>
      </c>
      <c r="X226" s="208"/>
      <c r="Y226" s="208"/>
      <c r="AA226" s="208">
        <v>1</v>
      </c>
      <c r="AB226" s="208">
        <v>1.2</v>
      </c>
      <c r="AC226" s="208">
        <v>2</v>
      </c>
      <c r="AD226" s="208">
        <v>2.5</v>
      </c>
      <c r="AE226" s="208">
        <v>2.7</v>
      </c>
      <c r="AF226" s="208">
        <v>3</v>
      </c>
      <c r="AG226" s="208">
        <v>6</v>
      </c>
      <c r="AH226" s="203"/>
      <c r="AI226" s="203"/>
      <c r="AK226" s="208">
        <v>1.73</v>
      </c>
      <c r="AL226" s="203">
        <v>1.85</v>
      </c>
      <c r="AM226" s="203">
        <v>0.05</v>
      </c>
      <c r="AN226" s="203"/>
    </row>
    <row r="227" spans="1:40">
      <c r="A227" s="203" t="s">
        <v>526</v>
      </c>
      <c r="B227" s="203" t="s">
        <v>530</v>
      </c>
      <c r="C227" s="203" t="s">
        <v>531</v>
      </c>
      <c r="D227">
        <v>48</v>
      </c>
      <c r="E227">
        <v>192</v>
      </c>
      <c r="F227">
        <v>0</v>
      </c>
      <c r="G227">
        <v>1010</v>
      </c>
      <c r="H227">
        <v>0.91</v>
      </c>
      <c r="K227" s="203" t="s">
        <v>297</v>
      </c>
      <c r="L227" s="203" t="s">
        <v>442</v>
      </c>
      <c r="M227" s="31">
        <v>567</v>
      </c>
      <c r="N227" s="31"/>
      <c r="O227" s="31">
        <v>2013</v>
      </c>
      <c r="P227" s="208" t="s">
        <v>337</v>
      </c>
      <c r="Q227" s="208" t="s">
        <v>337</v>
      </c>
      <c r="R227" s="208" t="s">
        <v>180</v>
      </c>
      <c r="S227" s="208" t="s">
        <v>353</v>
      </c>
      <c r="T227" s="208" t="s">
        <v>179</v>
      </c>
      <c r="U227" s="208" t="s">
        <v>344</v>
      </c>
      <c r="V227" s="208" t="s">
        <v>713</v>
      </c>
      <c r="W227" s="208" t="s">
        <v>356</v>
      </c>
      <c r="X227" s="208"/>
      <c r="Y227" s="208"/>
      <c r="AA227" s="208">
        <v>1</v>
      </c>
      <c r="AB227" s="208">
        <v>1.2</v>
      </c>
      <c r="AC227" s="208">
        <v>2</v>
      </c>
      <c r="AD227" s="208">
        <v>2.5</v>
      </c>
      <c r="AE227" s="208">
        <v>2.7</v>
      </c>
      <c r="AF227" s="208">
        <v>3</v>
      </c>
      <c r="AG227" s="208">
        <v>6</v>
      </c>
      <c r="AH227" s="203"/>
      <c r="AI227" s="203"/>
      <c r="AK227" s="208">
        <v>1.73</v>
      </c>
      <c r="AL227" s="203">
        <v>1.85</v>
      </c>
      <c r="AM227" s="203">
        <v>0.05</v>
      </c>
      <c r="AN227" s="203"/>
    </row>
    <row r="229" spans="1:40">
      <c r="B229" t="s">
        <v>746</v>
      </c>
    </row>
    <row r="230" spans="1:40">
      <c r="A230" t="s">
        <v>985</v>
      </c>
      <c r="B230" t="s">
        <v>532</v>
      </c>
      <c r="C230" t="s">
        <v>539</v>
      </c>
      <c r="D230">
        <v>800</v>
      </c>
      <c r="E230">
        <v>80000</v>
      </c>
      <c r="F230">
        <v>10.858700000000001</v>
      </c>
      <c r="G230">
        <v>-0.49149999999999999</v>
      </c>
      <c r="H230">
        <v>3.6479999999999999E-2</v>
      </c>
      <c r="I230" s="208">
        <v>0</v>
      </c>
      <c r="J230" s="208">
        <v>0</v>
      </c>
      <c r="K230" s="204" t="s">
        <v>557</v>
      </c>
      <c r="L230" s="203" t="s">
        <v>442</v>
      </c>
      <c r="M230" s="31">
        <v>567</v>
      </c>
      <c r="N230" s="31"/>
      <c r="O230" s="31">
        <v>2013</v>
      </c>
      <c r="P230" s="203"/>
      <c r="Q230" s="208" t="s">
        <v>337</v>
      </c>
      <c r="R230" s="208" t="s">
        <v>180</v>
      </c>
      <c r="S230" s="208" t="s">
        <v>353</v>
      </c>
      <c r="T230" s="208" t="s">
        <v>179</v>
      </c>
      <c r="U230" s="208" t="s">
        <v>344</v>
      </c>
      <c r="V230" s="208" t="s">
        <v>713</v>
      </c>
      <c r="W230" s="208" t="s">
        <v>356</v>
      </c>
      <c r="X230" s="208"/>
      <c r="Y230" s="208"/>
      <c r="AA230" s="208">
        <v>1</v>
      </c>
      <c r="AB230" s="208">
        <v>1.2</v>
      </c>
      <c r="AC230" s="208">
        <v>2</v>
      </c>
      <c r="AD230" s="208">
        <v>2.5</v>
      </c>
      <c r="AE230" s="208">
        <v>2.7</v>
      </c>
      <c r="AF230" s="208">
        <v>3</v>
      </c>
      <c r="AG230" s="208">
        <v>6</v>
      </c>
      <c r="AH230" s="203"/>
      <c r="AI230" s="203"/>
      <c r="AK230" s="203">
        <v>1</v>
      </c>
      <c r="AL230" s="203">
        <v>1</v>
      </c>
      <c r="AM230" s="203">
        <v>0.125</v>
      </c>
      <c r="AN230" s="203" t="s">
        <v>509</v>
      </c>
    </row>
    <row r="231" spans="1:40">
      <c r="A231" s="295" t="s">
        <v>985</v>
      </c>
      <c r="B231" t="s">
        <v>533</v>
      </c>
      <c r="C231" s="203" t="s">
        <v>539</v>
      </c>
      <c r="D231">
        <v>800</v>
      </c>
      <c r="E231">
        <v>240000</v>
      </c>
      <c r="F231">
        <v>11.5525</v>
      </c>
      <c r="G231">
        <v>-0.59809999999999997</v>
      </c>
      <c r="H231">
        <v>4.4510000000000001E-2</v>
      </c>
      <c r="I231" s="208">
        <v>0</v>
      </c>
      <c r="J231" s="208">
        <v>0</v>
      </c>
      <c r="K231" s="204" t="s">
        <v>557</v>
      </c>
      <c r="L231" s="203" t="s">
        <v>442</v>
      </c>
      <c r="M231" s="31">
        <v>567</v>
      </c>
      <c r="N231" s="31"/>
      <c r="O231" s="31">
        <v>2013</v>
      </c>
      <c r="P231" s="203"/>
      <c r="Q231" s="208" t="s">
        <v>337</v>
      </c>
      <c r="R231" s="208" t="s">
        <v>180</v>
      </c>
      <c r="S231" s="208" t="s">
        <v>353</v>
      </c>
      <c r="T231" s="208" t="s">
        <v>179</v>
      </c>
      <c r="U231" s="208" t="s">
        <v>344</v>
      </c>
      <c r="V231" s="208" t="s">
        <v>713</v>
      </c>
      <c r="W231" s="208" t="s">
        <v>356</v>
      </c>
      <c r="X231" s="208"/>
      <c r="Y231" s="208"/>
      <c r="AA231" s="208">
        <v>1</v>
      </c>
      <c r="AB231" s="208">
        <v>1.2</v>
      </c>
      <c r="AC231" s="208">
        <v>2</v>
      </c>
      <c r="AD231" s="208">
        <v>2.5</v>
      </c>
      <c r="AE231" s="208">
        <v>2.7</v>
      </c>
      <c r="AF231" s="208">
        <v>3</v>
      </c>
      <c r="AG231" s="208">
        <v>6</v>
      </c>
      <c r="AH231" s="203"/>
      <c r="AI231" s="203"/>
      <c r="AK231" s="203">
        <v>1</v>
      </c>
      <c r="AL231" s="215">
        <v>1</v>
      </c>
      <c r="AM231" s="214">
        <v>0.125</v>
      </c>
      <c r="AN231" s="203" t="s">
        <v>509</v>
      </c>
    </row>
    <row r="232" spans="1:40">
      <c r="A232" s="295" t="s">
        <v>985</v>
      </c>
      <c r="B232" t="s">
        <v>534</v>
      </c>
      <c r="C232" s="203" t="s">
        <v>539</v>
      </c>
      <c r="D232">
        <v>800</v>
      </c>
      <c r="E232">
        <v>80000</v>
      </c>
      <c r="F232">
        <v>0</v>
      </c>
      <c r="G232">
        <v>7938</v>
      </c>
      <c r="H232">
        <v>0.11</v>
      </c>
      <c r="K232" s="203" t="s">
        <v>297</v>
      </c>
      <c r="L232" s="203" t="s">
        <v>442</v>
      </c>
      <c r="M232" s="31">
        <v>567</v>
      </c>
      <c r="N232" s="31"/>
      <c r="O232" s="31">
        <v>2013</v>
      </c>
      <c r="P232" s="203"/>
      <c r="Q232" s="208" t="s">
        <v>337</v>
      </c>
      <c r="R232" s="208" t="s">
        <v>180</v>
      </c>
      <c r="S232" s="208" t="s">
        <v>353</v>
      </c>
      <c r="T232" s="208" t="s">
        <v>179</v>
      </c>
      <c r="U232" s="208" t="s">
        <v>344</v>
      </c>
      <c r="V232" s="208" t="s">
        <v>713</v>
      </c>
      <c r="W232" s="208" t="s">
        <v>356</v>
      </c>
      <c r="X232" s="208"/>
      <c r="Y232" s="208"/>
      <c r="AA232" s="208">
        <v>1</v>
      </c>
      <c r="AB232" s="208">
        <v>1.2</v>
      </c>
      <c r="AC232" s="208">
        <v>2</v>
      </c>
      <c r="AD232" s="208">
        <v>2.5</v>
      </c>
      <c r="AE232" s="208">
        <v>2.7</v>
      </c>
      <c r="AF232" s="208">
        <v>3</v>
      </c>
      <c r="AG232" s="208">
        <v>6</v>
      </c>
      <c r="AH232" s="203"/>
      <c r="AI232" s="203"/>
      <c r="AK232" s="208">
        <v>2.2999999999999998</v>
      </c>
      <c r="AL232" s="215">
        <v>2.0499999999999998</v>
      </c>
      <c r="AM232" s="214">
        <v>0.125</v>
      </c>
      <c r="AN232" s="203"/>
    </row>
    <row r="233" spans="1:40">
      <c r="A233" s="295" t="s">
        <v>985</v>
      </c>
      <c r="B233" t="s">
        <v>535</v>
      </c>
      <c r="C233" s="203" t="s">
        <v>539</v>
      </c>
      <c r="D233">
        <v>80</v>
      </c>
      <c r="E233">
        <v>40000</v>
      </c>
      <c r="F233">
        <v>9.6126000000000005</v>
      </c>
      <c r="G233">
        <v>-1.453E-2</v>
      </c>
      <c r="H233">
        <v>1.0189999999999999E-2</v>
      </c>
      <c r="I233" s="208">
        <v>0</v>
      </c>
      <c r="J233" s="208">
        <v>0</v>
      </c>
      <c r="K233" s="204" t="s">
        <v>557</v>
      </c>
      <c r="L233" s="203" t="s">
        <v>442</v>
      </c>
      <c r="M233" s="31">
        <v>567</v>
      </c>
      <c r="N233" s="31"/>
      <c r="O233" s="31">
        <v>2013</v>
      </c>
      <c r="P233" s="203"/>
      <c r="Q233" s="208" t="s">
        <v>337</v>
      </c>
      <c r="R233" s="208" t="s">
        <v>180</v>
      </c>
      <c r="S233" s="208" t="s">
        <v>353</v>
      </c>
      <c r="T233" s="208" t="s">
        <v>179</v>
      </c>
      <c r="U233" s="208" t="s">
        <v>344</v>
      </c>
      <c r="V233" s="208" t="s">
        <v>713</v>
      </c>
      <c r="W233" s="208" t="s">
        <v>356</v>
      </c>
      <c r="X233" s="208"/>
      <c r="Y233" s="208"/>
      <c r="AA233" s="208">
        <v>1</v>
      </c>
      <c r="AB233" s="208">
        <v>1.2</v>
      </c>
      <c r="AC233" s="208">
        <v>2</v>
      </c>
      <c r="AD233" s="208">
        <v>2.5</v>
      </c>
      <c r="AE233" s="208">
        <v>2.7</v>
      </c>
      <c r="AF233" s="208">
        <v>3</v>
      </c>
      <c r="AG233" s="208">
        <v>6</v>
      </c>
      <c r="AH233" s="203"/>
      <c r="AI233" s="203"/>
      <c r="AK233" s="203">
        <v>1</v>
      </c>
      <c r="AL233" s="215">
        <v>1</v>
      </c>
      <c r="AM233" s="214">
        <v>0.125</v>
      </c>
      <c r="AN233" s="203" t="s">
        <v>509</v>
      </c>
    </row>
    <row r="234" spans="1:40">
      <c r="A234" s="295" t="s">
        <v>985</v>
      </c>
      <c r="B234" t="s">
        <v>536</v>
      </c>
      <c r="C234" s="203" t="s">
        <v>539</v>
      </c>
      <c r="D234">
        <v>8</v>
      </c>
      <c r="E234">
        <v>800</v>
      </c>
      <c r="F234">
        <v>10.9186</v>
      </c>
      <c r="G234">
        <v>0</v>
      </c>
      <c r="H234">
        <v>2.0990000000000002E-2</v>
      </c>
      <c r="I234" s="208">
        <v>0</v>
      </c>
      <c r="J234" s="208">
        <v>0</v>
      </c>
      <c r="K234" s="204" t="s">
        <v>557</v>
      </c>
      <c r="L234" s="203" t="s">
        <v>442</v>
      </c>
      <c r="M234" s="31">
        <v>567</v>
      </c>
      <c r="N234" s="31"/>
      <c r="O234" s="31">
        <v>2013</v>
      </c>
      <c r="P234" s="203"/>
      <c r="Q234" s="208" t="s">
        <v>337</v>
      </c>
      <c r="R234" s="208" t="s">
        <v>180</v>
      </c>
      <c r="S234" s="208" t="s">
        <v>353</v>
      </c>
      <c r="T234" s="208" t="s">
        <v>179</v>
      </c>
      <c r="U234" s="208" t="s">
        <v>344</v>
      </c>
      <c r="V234" s="208" t="s">
        <v>713</v>
      </c>
      <c r="W234" s="208" t="s">
        <v>356</v>
      </c>
      <c r="X234" s="208"/>
      <c r="Y234" s="208"/>
      <c r="AA234" s="208">
        <v>1</v>
      </c>
      <c r="AB234" s="208">
        <v>1.2</v>
      </c>
      <c r="AC234" s="208">
        <v>2</v>
      </c>
      <c r="AD234" s="208">
        <v>2.5</v>
      </c>
      <c r="AE234" s="208">
        <v>2.7</v>
      </c>
      <c r="AF234" s="208">
        <v>3</v>
      </c>
      <c r="AG234" s="208">
        <v>6</v>
      </c>
      <c r="AH234" s="203"/>
      <c r="AI234" s="203"/>
      <c r="AK234" s="203">
        <v>1</v>
      </c>
      <c r="AL234" s="215">
        <v>1</v>
      </c>
      <c r="AM234" s="214">
        <v>0.125</v>
      </c>
      <c r="AN234" s="203" t="s">
        <v>509</v>
      </c>
    </row>
    <row r="235" spans="1:40">
      <c r="A235" s="295" t="s">
        <v>985</v>
      </c>
      <c r="B235" t="s">
        <v>537</v>
      </c>
      <c r="C235" s="203" t="s">
        <v>539</v>
      </c>
      <c r="D235">
        <v>8000</v>
      </c>
      <c r="E235">
        <v>140000</v>
      </c>
      <c r="F235">
        <v>0</v>
      </c>
      <c r="G235">
        <v>130</v>
      </c>
      <c r="H235">
        <v>0.59</v>
      </c>
      <c r="K235" s="203" t="s">
        <v>297</v>
      </c>
      <c r="L235" s="203" t="s">
        <v>442</v>
      </c>
      <c r="M235" s="31">
        <v>567</v>
      </c>
      <c r="N235" s="31"/>
      <c r="O235" s="31">
        <v>2013</v>
      </c>
      <c r="P235" s="203"/>
      <c r="Q235" s="208" t="s">
        <v>337</v>
      </c>
      <c r="R235" s="208" t="s">
        <v>180</v>
      </c>
      <c r="S235" s="208" t="s">
        <v>353</v>
      </c>
      <c r="T235" s="208" t="s">
        <v>179</v>
      </c>
      <c r="U235" s="208" t="s">
        <v>344</v>
      </c>
      <c r="V235" s="208" t="s">
        <v>713</v>
      </c>
      <c r="W235" s="208" t="s">
        <v>356</v>
      </c>
      <c r="X235" s="208"/>
      <c r="Y235" s="208"/>
      <c r="AA235" s="208">
        <v>1</v>
      </c>
      <c r="AB235" s="208">
        <v>1.2</v>
      </c>
      <c r="AC235" s="208">
        <v>2</v>
      </c>
      <c r="AD235" s="208">
        <v>2.5</v>
      </c>
      <c r="AE235" s="208">
        <v>2.7</v>
      </c>
      <c r="AF235" s="208">
        <v>3</v>
      </c>
      <c r="AG235" s="208">
        <v>6</v>
      </c>
      <c r="AH235" s="203"/>
      <c r="AI235" s="203"/>
      <c r="AK235" s="208">
        <v>2.2999999999999998</v>
      </c>
      <c r="AL235" s="215">
        <v>2.0499999999999998</v>
      </c>
      <c r="AM235" s="214">
        <v>0.125</v>
      </c>
      <c r="AN235" s="203"/>
    </row>
    <row r="236" spans="1:40">
      <c r="A236" s="295" t="s">
        <v>985</v>
      </c>
      <c r="B236" t="s">
        <v>538</v>
      </c>
      <c r="C236" s="203" t="s">
        <v>539</v>
      </c>
      <c r="D236">
        <v>800</v>
      </c>
      <c r="E236">
        <v>8000</v>
      </c>
      <c r="F236">
        <v>9.2827999999999999</v>
      </c>
      <c r="G236">
        <v>0.105</v>
      </c>
      <c r="H236">
        <v>1.8849999999999999E-2</v>
      </c>
      <c r="I236" s="207">
        <v>0</v>
      </c>
      <c r="J236" s="207">
        <v>0</v>
      </c>
      <c r="K236" s="204" t="s">
        <v>557</v>
      </c>
      <c r="L236" s="203" t="s">
        <v>442</v>
      </c>
      <c r="M236" s="31">
        <v>567</v>
      </c>
      <c r="N236" s="31"/>
      <c r="O236" s="31">
        <v>2013</v>
      </c>
      <c r="P236" s="203"/>
      <c r="Q236" s="208" t="s">
        <v>337</v>
      </c>
      <c r="R236" s="208" t="s">
        <v>180</v>
      </c>
      <c r="S236" s="208" t="s">
        <v>353</v>
      </c>
      <c r="T236" s="208" t="s">
        <v>179</v>
      </c>
      <c r="U236" s="208" t="s">
        <v>344</v>
      </c>
      <c r="V236" s="208" t="s">
        <v>713</v>
      </c>
      <c r="W236" s="208" t="s">
        <v>356</v>
      </c>
      <c r="X236" s="208"/>
      <c r="Y236" s="208"/>
      <c r="AA236" s="208">
        <v>1</v>
      </c>
      <c r="AB236" s="208">
        <v>1.2</v>
      </c>
      <c r="AC236" s="208">
        <v>2</v>
      </c>
      <c r="AD236" s="208">
        <v>2.5</v>
      </c>
      <c r="AE236" s="208">
        <v>2.7</v>
      </c>
      <c r="AF236" s="208">
        <v>3</v>
      </c>
      <c r="AG236" s="208">
        <v>6</v>
      </c>
      <c r="AH236" s="203"/>
      <c r="AI236" s="203"/>
      <c r="AK236" s="203">
        <v>1</v>
      </c>
      <c r="AL236" s="215">
        <v>1</v>
      </c>
      <c r="AM236" s="214">
        <v>0.125</v>
      </c>
      <c r="AN236" s="203" t="s">
        <v>509</v>
      </c>
    </row>
    <row r="237" spans="1:40">
      <c r="M237" s="31"/>
      <c r="N237" s="31"/>
      <c r="O237" s="31"/>
    </row>
    <row r="238" spans="1:40">
      <c r="B238" t="s">
        <v>747</v>
      </c>
      <c r="M238" s="31"/>
      <c r="N238" s="31"/>
      <c r="O238" s="31"/>
    </row>
    <row r="239" spans="1:40">
      <c r="A239" s="295" t="s">
        <v>747</v>
      </c>
      <c r="B239" t="s">
        <v>540</v>
      </c>
      <c r="C239" t="s">
        <v>541</v>
      </c>
      <c r="D239">
        <v>25</v>
      </c>
      <c r="E239">
        <v>1200</v>
      </c>
      <c r="F239">
        <v>0</v>
      </c>
      <c r="G239">
        <v>11910</v>
      </c>
      <c r="H239">
        <v>0.6</v>
      </c>
      <c r="K239" s="204" t="s">
        <v>297</v>
      </c>
      <c r="L239" s="204" t="s">
        <v>442</v>
      </c>
      <c r="M239" s="31">
        <v>567</v>
      </c>
      <c r="N239" s="31"/>
      <c r="O239" s="31">
        <v>2013</v>
      </c>
      <c r="Q239" s="208" t="s">
        <v>337</v>
      </c>
      <c r="R239" s="208" t="s">
        <v>180</v>
      </c>
      <c r="S239" s="208" t="s">
        <v>353</v>
      </c>
      <c r="T239" s="208" t="s">
        <v>179</v>
      </c>
      <c r="U239" s="208" t="s">
        <v>344</v>
      </c>
      <c r="V239" s="208" t="s">
        <v>713</v>
      </c>
      <c r="W239" s="208" t="s">
        <v>356</v>
      </c>
      <c r="X239" s="208"/>
      <c r="Y239" s="208"/>
      <c r="AA239" s="208">
        <v>1</v>
      </c>
      <c r="AB239" s="208">
        <v>1.2</v>
      </c>
      <c r="AC239" s="208">
        <v>2</v>
      </c>
      <c r="AD239" s="208">
        <v>2.5</v>
      </c>
      <c r="AE239" s="208">
        <v>2.7</v>
      </c>
      <c r="AF239" s="208">
        <v>3</v>
      </c>
      <c r="AG239" s="208">
        <v>6</v>
      </c>
      <c r="AK239" s="208">
        <v>1.39</v>
      </c>
      <c r="AL239" s="30">
        <v>1.83</v>
      </c>
      <c r="AM239" s="30">
        <v>0.45</v>
      </c>
      <c r="AN239" t="s">
        <v>719</v>
      </c>
    </row>
    <row r="240" spans="1:40">
      <c r="A240" s="295" t="s">
        <v>747</v>
      </c>
      <c r="B240" t="s">
        <v>542</v>
      </c>
      <c r="C240" s="204" t="s">
        <v>541</v>
      </c>
      <c r="D240">
        <v>10</v>
      </c>
      <c r="E240">
        <v>200</v>
      </c>
      <c r="F240">
        <v>0</v>
      </c>
      <c r="G240">
        <v>2610</v>
      </c>
      <c r="H240">
        <v>0.89</v>
      </c>
      <c r="K240" s="204" t="s">
        <v>297</v>
      </c>
      <c r="L240" s="204" t="s">
        <v>442</v>
      </c>
      <c r="M240" s="31">
        <v>567</v>
      </c>
      <c r="N240" s="31"/>
      <c r="O240" s="31">
        <v>2013</v>
      </c>
      <c r="Q240" s="208" t="s">
        <v>337</v>
      </c>
      <c r="R240" s="208" t="s">
        <v>180</v>
      </c>
      <c r="S240" s="208" t="s">
        <v>353</v>
      </c>
      <c r="T240" s="208" t="s">
        <v>179</v>
      </c>
      <c r="U240" s="208" t="s">
        <v>344</v>
      </c>
      <c r="V240" s="208" t="s">
        <v>713</v>
      </c>
      <c r="W240" s="208" t="s">
        <v>356</v>
      </c>
      <c r="X240" s="208"/>
      <c r="Y240" s="208"/>
      <c r="AA240" s="208">
        <v>1</v>
      </c>
      <c r="AB240" s="208">
        <v>1.2</v>
      </c>
      <c r="AC240" s="208">
        <v>2</v>
      </c>
      <c r="AD240" s="208">
        <v>2.5</v>
      </c>
      <c r="AE240" s="208">
        <v>2.7</v>
      </c>
      <c r="AF240" s="208">
        <v>3</v>
      </c>
      <c r="AG240" s="208">
        <v>6</v>
      </c>
      <c r="AK240" s="208">
        <v>1.39</v>
      </c>
      <c r="AL240" s="215">
        <v>1.83</v>
      </c>
      <c r="AM240" s="214">
        <v>0.45</v>
      </c>
      <c r="AN240" s="208" t="s">
        <v>720</v>
      </c>
    </row>
    <row r="241" spans="1:44">
      <c r="A241" s="295" t="s">
        <v>747</v>
      </c>
      <c r="B241" t="s">
        <v>543</v>
      </c>
      <c r="C241" s="204" t="s">
        <v>541</v>
      </c>
      <c r="D241">
        <v>20</v>
      </c>
      <c r="E241">
        <v>300</v>
      </c>
      <c r="F241">
        <v>0</v>
      </c>
      <c r="G241">
        <v>2041</v>
      </c>
      <c r="H241">
        <v>1.05</v>
      </c>
      <c r="K241" s="204" t="s">
        <v>297</v>
      </c>
      <c r="L241" s="204" t="s">
        <v>442</v>
      </c>
      <c r="M241" s="31">
        <v>567</v>
      </c>
      <c r="N241" s="31"/>
      <c r="O241" s="31">
        <v>2013</v>
      </c>
      <c r="Q241" s="208" t="s">
        <v>337</v>
      </c>
      <c r="R241" s="208" t="s">
        <v>180</v>
      </c>
      <c r="S241" s="208" t="s">
        <v>353</v>
      </c>
      <c r="T241" s="208" t="s">
        <v>179</v>
      </c>
      <c r="U241" s="208" t="s">
        <v>344</v>
      </c>
      <c r="V241" s="208" t="s">
        <v>713</v>
      </c>
      <c r="W241" s="208" t="s">
        <v>356</v>
      </c>
      <c r="X241" s="208"/>
      <c r="Y241" s="208"/>
      <c r="AA241" s="208">
        <v>1</v>
      </c>
      <c r="AB241" s="208">
        <v>1.2</v>
      </c>
      <c r="AC241" s="208">
        <v>2</v>
      </c>
      <c r="AD241" s="208">
        <v>2.5</v>
      </c>
      <c r="AE241" s="208">
        <v>2.7</v>
      </c>
      <c r="AF241" s="208">
        <v>3</v>
      </c>
      <c r="AG241" s="208">
        <v>6</v>
      </c>
      <c r="AK241" s="208">
        <v>1.39</v>
      </c>
      <c r="AL241" s="215">
        <v>1.83</v>
      </c>
      <c r="AM241" s="214">
        <v>0.45</v>
      </c>
      <c r="AN241" s="208" t="s">
        <v>721</v>
      </c>
    </row>
    <row r="242" spans="1:44">
      <c r="A242" s="295" t="s">
        <v>747</v>
      </c>
      <c r="B242" t="s">
        <v>544</v>
      </c>
      <c r="C242" s="204" t="s">
        <v>541</v>
      </c>
      <c r="D242">
        <v>2</v>
      </c>
      <c r="E242">
        <v>200</v>
      </c>
      <c r="F242">
        <v>0</v>
      </c>
      <c r="G242">
        <v>4310</v>
      </c>
      <c r="H242">
        <v>0.78</v>
      </c>
      <c r="K242" s="204" t="s">
        <v>297</v>
      </c>
      <c r="L242" s="204" t="s">
        <v>442</v>
      </c>
      <c r="M242" s="31">
        <v>567</v>
      </c>
      <c r="N242" s="31"/>
      <c r="O242" s="31">
        <v>2013</v>
      </c>
      <c r="Q242" s="208" t="s">
        <v>337</v>
      </c>
      <c r="R242" s="208" t="s">
        <v>180</v>
      </c>
      <c r="S242" s="208" t="s">
        <v>353</v>
      </c>
      <c r="T242" s="208" t="s">
        <v>179</v>
      </c>
      <c r="U242" s="208" t="s">
        <v>344</v>
      </c>
      <c r="V242" s="208" t="s">
        <v>713</v>
      </c>
      <c r="W242" s="208" t="s">
        <v>356</v>
      </c>
      <c r="X242" s="208"/>
      <c r="Y242" s="208"/>
      <c r="AA242" s="208">
        <v>1</v>
      </c>
      <c r="AB242" s="208">
        <v>1.2</v>
      </c>
      <c r="AC242" s="208">
        <v>2</v>
      </c>
      <c r="AD242" s="208">
        <v>2.5</v>
      </c>
      <c r="AE242" s="208">
        <v>2.7</v>
      </c>
      <c r="AF242" s="208">
        <v>3</v>
      </c>
      <c r="AG242" s="208">
        <v>6</v>
      </c>
      <c r="AK242" s="208">
        <v>1.39</v>
      </c>
      <c r="AL242" s="215">
        <v>1.83</v>
      </c>
      <c r="AM242" s="214">
        <v>0.45</v>
      </c>
      <c r="AN242" s="208" t="s">
        <v>722</v>
      </c>
    </row>
    <row r="243" spans="1:44">
      <c r="A243" s="295" t="s">
        <v>747</v>
      </c>
      <c r="B243" t="s">
        <v>545</v>
      </c>
      <c r="C243" s="204" t="s">
        <v>541</v>
      </c>
      <c r="D243">
        <v>1</v>
      </c>
      <c r="E243">
        <v>30</v>
      </c>
      <c r="F243">
        <v>0</v>
      </c>
      <c r="G243" s="204">
        <v>64640</v>
      </c>
      <c r="H243" s="204">
        <v>0.69</v>
      </c>
      <c r="K243" s="204" t="s">
        <v>297</v>
      </c>
      <c r="L243" s="204" t="s">
        <v>442</v>
      </c>
      <c r="M243" s="31">
        <v>567</v>
      </c>
      <c r="N243" s="31"/>
      <c r="O243" s="31">
        <v>2013</v>
      </c>
      <c r="Q243" s="208" t="s">
        <v>337</v>
      </c>
      <c r="R243" s="208" t="s">
        <v>180</v>
      </c>
      <c r="S243" s="208" t="s">
        <v>353</v>
      </c>
      <c r="T243" s="208" t="s">
        <v>179</v>
      </c>
      <c r="U243" s="208" t="s">
        <v>344</v>
      </c>
      <c r="V243" s="208" t="s">
        <v>713</v>
      </c>
      <c r="W243" s="208" t="s">
        <v>356</v>
      </c>
      <c r="X243" s="208"/>
      <c r="Y243" s="208"/>
      <c r="AA243" s="208">
        <v>1</v>
      </c>
      <c r="AB243" s="208">
        <v>1.2</v>
      </c>
      <c r="AC243" s="208">
        <v>2</v>
      </c>
      <c r="AD243" s="208">
        <v>2.5</v>
      </c>
      <c r="AE243" s="208">
        <v>2.7</v>
      </c>
      <c r="AF243" s="208">
        <v>3</v>
      </c>
      <c r="AG243" s="208">
        <v>6</v>
      </c>
      <c r="AK243" s="208">
        <v>1.39</v>
      </c>
      <c r="AL243" s="215">
        <v>1.83</v>
      </c>
      <c r="AM243" s="214">
        <v>0.45</v>
      </c>
      <c r="AN243" s="208" t="s">
        <v>723</v>
      </c>
    </row>
    <row r="244" spans="1:44">
      <c r="A244" s="295" t="s">
        <v>747</v>
      </c>
      <c r="B244" t="s">
        <v>546</v>
      </c>
      <c r="C244" s="204" t="s">
        <v>541</v>
      </c>
      <c r="D244">
        <v>1</v>
      </c>
      <c r="E244">
        <v>5</v>
      </c>
      <c r="F244">
        <v>0</v>
      </c>
      <c r="G244">
        <v>38560</v>
      </c>
      <c r="H244">
        <v>0.39</v>
      </c>
      <c r="K244" s="204" t="s">
        <v>297</v>
      </c>
      <c r="L244" s="204" t="s">
        <v>442</v>
      </c>
      <c r="M244" s="31">
        <v>567</v>
      </c>
      <c r="N244" s="31"/>
      <c r="O244" s="31">
        <v>2013</v>
      </c>
      <c r="Q244" s="208" t="s">
        <v>337</v>
      </c>
      <c r="R244" s="208" t="s">
        <v>180</v>
      </c>
      <c r="S244" s="208" t="s">
        <v>353</v>
      </c>
      <c r="T244" s="208" t="s">
        <v>179</v>
      </c>
      <c r="U244" s="208" t="s">
        <v>344</v>
      </c>
      <c r="V244" s="208" t="s">
        <v>713</v>
      </c>
      <c r="W244" s="208" t="s">
        <v>356</v>
      </c>
      <c r="X244" s="208"/>
      <c r="Y244" s="208"/>
      <c r="AA244" s="208">
        <v>1</v>
      </c>
      <c r="AB244" s="208">
        <v>1.2</v>
      </c>
      <c r="AC244" s="208">
        <v>2</v>
      </c>
      <c r="AD244" s="208">
        <v>2.5</v>
      </c>
      <c r="AE244" s="208">
        <v>2.7</v>
      </c>
      <c r="AF244" s="208">
        <v>3</v>
      </c>
      <c r="AG244" s="208">
        <v>6</v>
      </c>
      <c r="AK244" s="208">
        <v>1.39</v>
      </c>
      <c r="AL244" s="215">
        <v>1.83</v>
      </c>
      <c r="AM244" s="214">
        <v>0.45</v>
      </c>
      <c r="AN244" s="208" t="s">
        <v>724</v>
      </c>
    </row>
    <row r="245" spans="1:44" s="214" customFormat="1">
      <c r="M245" s="31"/>
      <c r="N245" s="31"/>
      <c r="O245" s="31"/>
      <c r="AR245" s="217"/>
    </row>
    <row r="246" spans="1:44" s="214" customFormat="1">
      <c r="B246" s="214" t="s">
        <v>793</v>
      </c>
      <c r="M246" s="31"/>
      <c r="N246" s="31"/>
      <c r="O246" s="31"/>
      <c r="AR246" s="217"/>
    </row>
    <row r="247" spans="1:44" s="29" customFormat="1">
      <c r="A247" s="295" t="s">
        <v>793</v>
      </c>
      <c r="B247" s="29" t="s">
        <v>242</v>
      </c>
      <c r="C247" s="29" t="s">
        <v>243</v>
      </c>
      <c r="D247" s="29">
        <v>30</v>
      </c>
      <c r="E247" s="29">
        <v>400</v>
      </c>
      <c r="F247" s="29">
        <v>68400</v>
      </c>
      <c r="G247" s="29">
        <v>730</v>
      </c>
      <c r="H247" s="29">
        <v>1</v>
      </c>
      <c r="I247" s="207"/>
      <c r="J247" s="207"/>
      <c r="K247" s="29" t="s">
        <v>297</v>
      </c>
      <c r="L247" s="200" t="s">
        <v>443</v>
      </c>
      <c r="M247" s="29">
        <v>532.9</v>
      </c>
      <c r="N247" s="29">
        <v>2281.6</v>
      </c>
      <c r="O247" s="29">
        <v>2010</v>
      </c>
      <c r="Q247" s="31" t="s">
        <v>337</v>
      </c>
      <c r="R247" s="31" t="s">
        <v>338</v>
      </c>
      <c r="S247" s="31" t="s">
        <v>339</v>
      </c>
      <c r="T247" s="31" t="s">
        <v>340</v>
      </c>
      <c r="U247" s="31" t="s">
        <v>341</v>
      </c>
      <c r="V247" s="31" t="s">
        <v>342</v>
      </c>
      <c r="W247" s="31" t="s">
        <v>343</v>
      </c>
      <c r="X247" s="31" t="s">
        <v>344</v>
      </c>
      <c r="Y247" s="31" t="s">
        <v>345</v>
      </c>
      <c r="Z247" s="31"/>
      <c r="AA247" s="31">
        <v>1</v>
      </c>
      <c r="AB247" s="31">
        <v>1.07</v>
      </c>
      <c r="AC247" s="31">
        <v>1.1000000000000001</v>
      </c>
      <c r="AD247" s="31">
        <v>1.3</v>
      </c>
      <c r="AE247" s="31">
        <v>1.3</v>
      </c>
      <c r="AF247" s="31">
        <v>1.5</v>
      </c>
      <c r="AG247" s="31">
        <v>1.55</v>
      </c>
      <c r="AH247" s="31">
        <v>1.65</v>
      </c>
      <c r="AI247" s="31">
        <v>1.7</v>
      </c>
      <c r="AJ247" s="31"/>
      <c r="AK247" s="31">
        <v>1.39</v>
      </c>
      <c r="AL247" s="215">
        <v>1.83</v>
      </c>
      <c r="AM247" s="31">
        <v>0.45</v>
      </c>
      <c r="AR247" s="217"/>
    </row>
    <row r="248" spans="1:44" s="29" customFormat="1">
      <c r="A248" s="295" t="s">
        <v>793</v>
      </c>
      <c r="B248" s="29" t="s">
        <v>244</v>
      </c>
      <c r="C248" s="29" t="s">
        <v>245</v>
      </c>
      <c r="D248" s="29">
        <v>200</v>
      </c>
      <c r="E248" s="29">
        <v>4000</v>
      </c>
      <c r="F248" s="29">
        <v>16000</v>
      </c>
      <c r="G248" s="29">
        <v>670</v>
      </c>
      <c r="H248" s="29">
        <v>0.5</v>
      </c>
      <c r="I248" s="207"/>
      <c r="J248" s="207"/>
      <c r="K248" s="29" t="s">
        <v>297</v>
      </c>
      <c r="L248" s="200" t="s">
        <v>443</v>
      </c>
      <c r="M248" s="29">
        <v>532.9</v>
      </c>
      <c r="N248" s="29">
        <v>2281.6</v>
      </c>
      <c r="O248" s="29">
        <v>2010</v>
      </c>
      <c r="Q248" s="31" t="s">
        <v>337</v>
      </c>
      <c r="R248" s="31" t="s">
        <v>338</v>
      </c>
      <c r="S248" s="31" t="s">
        <v>339</v>
      </c>
      <c r="T248" s="31" t="s">
        <v>340</v>
      </c>
      <c r="U248" s="31" t="s">
        <v>341</v>
      </c>
      <c r="V248" s="31" t="s">
        <v>342</v>
      </c>
      <c r="W248" s="31" t="s">
        <v>343</v>
      </c>
      <c r="X248" s="31" t="s">
        <v>344</v>
      </c>
      <c r="Y248" s="31" t="s">
        <v>345</v>
      </c>
      <c r="Z248" s="31"/>
      <c r="AA248" s="31">
        <v>1</v>
      </c>
      <c r="AB248" s="31">
        <v>1.07</v>
      </c>
      <c r="AC248" s="31">
        <v>1.1000000000000001</v>
      </c>
      <c r="AD248" s="31">
        <v>1.3</v>
      </c>
      <c r="AE248" s="31">
        <v>1.3</v>
      </c>
      <c r="AF248" s="31">
        <v>1.5</v>
      </c>
      <c r="AG248" s="31">
        <v>1.55</v>
      </c>
      <c r="AH248" s="31">
        <v>1.65</v>
      </c>
      <c r="AI248" s="31">
        <v>1.7</v>
      </c>
      <c r="AJ248" s="31"/>
      <c r="AK248" s="31">
        <v>1.39</v>
      </c>
      <c r="AL248" s="215">
        <v>1.83</v>
      </c>
      <c r="AM248" s="31">
        <v>0.45</v>
      </c>
      <c r="AR248" s="217"/>
    </row>
    <row r="249" spans="1:44" s="29" customFormat="1">
      <c r="A249" s="295" t="s">
        <v>793</v>
      </c>
      <c r="B249" s="29" t="s">
        <v>246</v>
      </c>
      <c r="C249" s="29" t="s">
        <v>243</v>
      </c>
      <c r="D249" s="29">
        <v>100</v>
      </c>
      <c r="E249" s="29">
        <v>600</v>
      </c>
      <c r="F249" s="29">
        <v>-8000</v>
      </c>
      <c r="G249" s="29">
        <v>62000</v>
      </c>
      <c r="H249" s="29">
        <v>0.5</v>
      </c>
      <c r="I249" s="207"/>
      <c r="J249" s="207"/>
      <c r="K249" s="29" t="s">
        <v>297</v>
      </c>
      <c r="L249" s="200" t="s">
        <v>443</v>
      </c>
      <c r="M249" s="29">
        <v>532.9</v>
      </c>
      <c r="N249" s="29">
        <v>2281.6</v>
      </c>
      <c r="O249" s="29">
        <v>2010</v>
      </c>
      <c r="Q249" s="31" t="s">
        <v>337</v>
      </c>
      <c r="R249" s="31" t="s">
        <v>338</v>
      </c>
      <c r="S249" s="31" t="s">
        <v>339</v>
      </c>
      <c r="T249" s="31" t="s">
        <v>340</v>
      </c>
      <c r="U249" s="31" t="s">
        <v>341</v>
      </c>
      <c r="V249" s="31" t="s">
        <v>342</v>
      </c>
      <c r="W249" s="31" t="s">
        <v>343</v>
      </c>
      <c r="X249" s="31" t="s">
        <v>344</v>
      </c>
      <c r="Y249" s="31" t="s">
        <v>345</v>
      </c>
      <c r="Z249" s="31"/>
      <c r="AA249" s="31">
        <v>1</v>
      </c>
      <c r="AB249" s="31">
        <v>1.07</v>
      </c>
      <c r="AC249" s="31">
        <v>1.1000000000000001</v>
      </c>
      <c r="AD249" s="31">
        <v>1.3</v>
      </c>
      <c r="AE249" s="31">
        <v>1.3</v>
      </c>
      <c r="AF249" s="31">
        <v>1.5</v>
      </c>
      <c r="AG249" s="31">
        <v>1.55</v>
      </c>
      <c r="AH249" s="31">
        <v>1.65</v>
      </c>
      <c r="AI249" s="31">
        <v>1.7</v>
      </c>
      <c r="AJ249" s="31"/>
      <c r="AK249" s="31">
        <v>1.39</v>
      </c>
      <c r="AL249" s="215">
        <v>1.83</v>
      </c>
      <c r="AM249" s="31">
        <v>0.45</v>
      </c>
      <c r="AR249" s="217"/>
    </row>
    <row r="250" spans="1:44" s="29" customFormat="1">
      <c r="A250" s="295" t="s">
        <v>793</v>
      </c>
      <c r="B250" s="29" t="s">
        <v>247</v>
      </c>
      <c r="C250" s="29" t="s">
        <v>243</v>
      </c>
      <c r="D250" s="29">
        <v>200</v>
      </c>
      <c r="E250" s="29">
        <v>3000</v>
      </c>
      <c r="F250" s="29">
        <v>5000</v>
      </c>
      <c r="G250" s="29">
        <v>5100</v>
      </c>
      <c r="H250" s="29">
        <v>0.7</v>
      </c>
      <c r="I250" s="207"/>
      <c r="J250" s="207"/>
      <c r="K250" s="29" t="s">
        <v>297</v>
      </c>
      <c r="L250" s="200" t="s">
        <v>443</v>
      </c>
      <c r="M250" s="29">
        <v>532.9</v>
      </c>
      <c r="N250" s="29">
        <v>2281.6</v>
      </c>
      <c r="O250" s="29">
        <v>2010</v>
      </c>
      <c r="Q250" s="31" t="s">
        <v>337</v>
      </c>
      <c r="R250" s="31" t="s">
        <v>338</v>
      </c>
      <c r="S250" s="31" t="s">
        <v>339</v>
      </c>
      <c r="T250" s="31" t="s">
        <v>340</v>
      </c>
      <c r="U250" s="31" t="s">
        <v>341</v>
      </c>
      <c r="V250" s="31" t="s">
        <v>342</v>
      </c>
      <c r="W250" s="31" t="s">
        <v>343</v>
      </c>
      <c r="X250" s="31" t="s">
        <v>344</v>
      </c>
      <c r="Y250" s="31" t="s">
        <v>345</v>
      </c>
      <c r="Z250" s="31"/>
      <c r="AA250" s="31">
        <v>1</v>
      </c>
      <c r="AB250" s="31">
        <v>1.07</v>
      </c>
      <c r="AC250" s="31">
        <v>1.1000000000000001</v>
      </c>
      <c r="AD250" s="31">
        <v>1.3</v>
      </c>
      <c r="AE250" s="31">
        <v>1.3</v>
      </c>
      <c r="AF250" s="31">
        <v>1.5</v>
      </c>
      <c r="AG250" s="31">
        <v>1.55</v>
      </c>
      <c r="AH250" s="31">
        <v>1.65</v>
      </c>
      <c r="AI250" s="31">
        <v>1.7</v>
      </c>
      <c r="AJ250" s="31"/>
      <c r="AK250" s="31">
        <v>1.39</v>
      </c>
      <c r="AL250" s="215">
        <v>1.83</v>
      </c>
      <c r="AM250" s="31">
        <v>0.45</v>
      </c>
      <c r="AR250" s="217"/>
    </row>
    <row r="251" spans="1:44" s="29" customFormat="1">
      <c r="A251" s="295" t="s">
        <v>793</v>
      </c>
      <c r="B251" s="29" t="s">
        <v>248</v>
      </c>
      <c r="C251" s="29" t="s">
        <v>243</v>
      </c>
      <c r="D251" s="29">
        <v>0.7</v>
      </c>
      <c r="E251" s="29">
        <v>60</v>
      </c>
      <c r="F251" s="29">
        <v>-23000</v>
      </c>
      <c r="G251" s="29">
        <v>242000</v>
      </c>
      <c r="H251" s="29">
        <v>0.4</v>
      </c>
      <c r="I251" s="207"/>
      <c r="J251" s="207"/>
      <c r="K251" s="29" t="s">
        <v>297</v>
      </c>
      <c r="L251" s="200" t="s">
        <v>443</v>
      </c>
      <c r="M251" s="29">
        <v>532.9</v>
      </c>
      <c r="N251" s="29">
        <v>2281.6</v>
      </c>
      <c r="O251" s="29">
        <v>2010</v>
      </c>
      <c r="Q251" s="31" t="s">
        <v>337</v>
      </c>
      <c r="R251" s="31" t="s">
        <v>338</v>
      </c>
      <c r="S251" s="31" t="s">
        <v>339</v>
      </c>
      <c r="T251" s="31" t="s">
        <v>340</v>
      </c>
      <c r="U251" s="31" t="s">
        <v>341</v>
      </c>
      <c r="V251" s="31" t="s">
        <v>342</v>
      </c>
      <c r="W251" s="31" t="s">
        <v>343</v>
      </c>
      <c r="X251" s="31" t="s">
        <v>344</v>
      </c>
      <c r="Y251" s="31" t="s">
        <v>345</v>
      </c>
      <c r="Z251" s="31"/>
      <c r="AA251" s="31">
        <v>1</v>
      </c>
      <c r="AB251" s="31">
        <v>1.07</v>
      </c>
      <c r="AC251" s="31">
        <v>1.1000000000000001</v>
      </c>
      <c r="AD251" s="31">
        <v>1.3</v>
      </c>
      <c r="AE251" s="31">
        <v>1.3</v>
      </c>
      <c r="AF251" s="31">
        <v>1.5</v>
      </c>
      <c r="AG251" s="31">
        <v>1.55</v>
      </c>
      <c r="AH251" s="31">
        <v>1.65</v>
      </c>
      <c r="AI251" s="31">
        <v>1.7</v>
      </c>
      <c r="AJ251" s="31"/>
      <c r="AK251" s="31">
        <v>2.2999999999999998</v>
      </c>
      <c r="AL251" s="215">
        <v>1.83</v>
      </c>
      <c r="AM251" s="31">
        <v>0.45</v>
      </c>
      <c r="AR251" s="217"/>
    </row>
    <row r="253" spans="1:44">
      <c r="B253" t="s">
        <v>770</v>
      </c>
    </row>
    <row r="254" spans="1:44">
      <c r="A254" s="295" t="s">
        <v>770</v>
      </c>
      <c r="B254" t="s">
        <v>547</v>
      </c>
      <c r="C254" t="s">
        <v>554</v>
      </c>
      <c r="D254">
        <v>80</v>
      </c>
      <c r="E254">
        <v>8000</v>
      </c>
      <c r="F254">
        <v>0</v>
      </c>
      <c r="G254">
        <v>3810</v>
      </c>
      <c r="H254">
        <v>0.57999999999999996</v>
      </c>
      <c r="K254" s="204" t="s">
        <v>297</v>
      </c>
      <c r="L254" s="204" t="s">
        <v>442</v>
      </c>
      <c r="M254" s="31">
        <v>567</v>
      </c>
      <c r="N254" s="31"/>
      <c r="O254" s="31">
        <v>2013</v>
      </c>
      <c r="Q254" s="208" t="s">
        <v>337</v>
      </c>
      <c r="R254" s="208"/>
      <c r="S254" s="208"/>
      <c r="T254" s="208"/>
      <c r="U254" s="208"/>
      <c r="V254" s="208"/>
      <c r="W254" s="208"/>
      <c r="X254" s="208"/>
      <c r="Y254" s="208"/>
      <c r="AA254" s="208">
        <v>1</v>
      </c>
      <c r="AB254" s="208"/>
      <c r="AC254" s="208"/>
      <c r="AD254" s="208"/>
      <c r="AE254" s="208"/>
      <c r="AF254" s="208"/>
      <c r="AG254" s="208"/>
      <c r="AK254" s="29" t="s">
        <v>162</v>
      </c>
      <c r="AL254" s="30">
        <v>2.12</v>
      </c>
      <c r="AM254" s="30">
        <v>0.1</v>
      </c>
      <c r="AN254" t="s">
        <v>337</v>
      </c>
    </row>
    <row r="255" spans="1:44">
      <c r="A255" s="295" t="s">
        <v>770</v>
      </c>
      <c r="B255" t="s">
        <v>548</v>
      </c>
      <c r="C255" s="204" t="s">
        <v>554</v>
      </c>
      <c r="D255">
        <v>8000</v>
      </c>
      <c r="E255">
        <v>125000</v>
      </c>
      <c r="F255">
        <v>0</v>
      </c>
      <c r="G255">
        <v>2720</v>
      </c>
      <c r="H255">
        <v>0.57999999999999996</v>
      </c>
      <c r="K255" s="204" t="s">
        <v>297</v>
      </c>
      <c r="L255" s="204" t="s">
        <v>442</v>
      </c>
      <c r="M255" s="31">
        <v>567</v>
      </c>
      <c r="N255" s="31"/>
      <c r="O255" s="31">
        <v>2013</v>
      </c>
      <c r="Q255" s="208" t="s">
        <v>556</v>
      </c>
      <c r="R255" s="208"/>
      <c r="S255" s="208"/>
      <c r="T255" s="208"/>
      <c r="U255" s="208"/>
      <c r="V255" s="208"/>
      <c r="W255" s="208"/>
      <c r="X255" s="208"/>
      <c r="Y255" s="208"/>
      <c r="AA255" s="208">
        <v>1</v>
      </c>
      <c r="AB255" s="208"/>
      <c r="AC255" s="208"/>
      <c r="AD255" s="208"/>
      <c r="AE255" s="208"/>
      <c r="AF255" s="208"/>
      <c r="AG255" s="208"/>
      <c r="AK255" s="29" t="s">
        <v>162</v>
      </c>
      <c r="AL255" s="215">
        <v>2.12</v>
      </c>
      <c r="AM255" s="30">
        <v>0.1</v>
      </c>
      <c r="AN255" t="s">
        <v>556</v>
      </c>
    </row>
    <row r="256" spans="1:44">
      <c r="A256" s="295" t="s">
        <v>770</v>
      </c>
      <c r="B256" t="s">
        <v>549</v>
      </c>
      <c r="C256" s="204" t="s">
        <v>554</v>
      </c>
      <c r="D256">
        <v>80</v>
      </c>
      <c r="E256">
        <v>8000</v>
      </c>
      <c r="F256">
        <v>0</v>
      </c>
      <c r="G256" s="204">
        <v>3460</v>
      </c>
      <c r="H256">
        <v>0.57999999999999996</v>
      </c>
      <c r="K256" s="204" t="s">
        <v>297</v>
      </c>
      <c r="L256" s="204" t="s">
        <v>442</v>
      </c>
      <c r="M256" s="31">
        <v>567</v>
      </c>
      <c r="N256" s="31"/>
      <c r="O256" s="31">
        <v>2013</v>
      </c>
      <c r="Q256" s="208" t="s">
        <v>337</v>
      </c>
      <c r="R256" s="208"/>
      <c r="S256" s="208"/>
      <c r="T256" s="208"/>
      <c r="U256" s="208"/>
      <c r="V256" s="208"/>
      <c r="W256" s="208"/>
      <c r="X256" s="208"/>
      <c r="Y256" s="208"/>
      <c r="AA256" s="208">
        <v>1</v>
      </c>
      <c r="AB256" s="208"/>
      <c r="AC256" s="208"/>
      <c r="AD256" s="208"/>
      <c r="AE256" s="208"/>
      <c r="AF256" s="208"/>
      <c r="AG256" s="208"/>
      <c r="AK256" s="29" t="s">
        <v>162</v>
      </c>
      <c r="AL256" s="215">
        <v>2.12</v>
      </c>
      <c r="AM256" s="214">
        <v>0.1</v>
      </c>
      <c r="AN256" t="s">
        <v>337</v>
      </c>
    </row>
    <row r="257" spans="1:44">
      <c r="A257" s="295" t="s">
        <v>770</v>
      </c>
      <c r="B257" t="s">
        <v>550</v>
      </c>
      <c r="C257" s="204" t="s">
        <v>554</v>
      </c>
      <c r="D257">
        <v>8000</v>
      </c>
      <c r="E257">
        <v>125000</v>
      </c>
      <c r="F257">
        <v>0</v>
      </c>
      <c r="G257" s="204">
        <v>2450</v>
      </c>
      <c r="H257" s="204">
        <v>0.57999999999999996</v>
      </c>
      <c r="K257" s="204" t="s">
        <v>297</v>
      </c>
      <c r="L257" s="204" t="s">
        <v>442</v>
      </c>
      <c r="M257" s="31">
        <v>567</v>
      </c>
      <c r="N257" s="31"/>
      <c r="O257" s="31">
        <v>2013</v>
      </c>
      <c r="Q257" s="208" t="s">
        <v>556</v>
      </c>
      <c r="R257" s="208"/>
      <c r="S257" s="208"/>
      <c r="T257" s="208"/>
      <c r="U257" s="208"/>
      <c r="V257" s="208"/>
      <c r="W257" s="208"/>
      <c r="X257" s="208"/>
      <c r="Y257" s="208"/>
      <c r="AA257" s="208">
        <v>1</v>
      </c>
      <c r="AB257" s="208"/>
      <c r="AC257" s="208"/>
      <c r="AD257" s="208"/>
      <c r="AE257" s="208"/>
      <c r="AF257" s="208"/>
      <c r="AG257" s="208"/>
      <c r="AK257" s="29" t="s">
        <v>162</v>
      </c>
      <c r="AL257" s="215">
        <v>2.12</v>
      </c>
      <c r="AM257" s="214">
        <v>0.1</v>
      </c>
      <c r="AN257" t="s">
        <v>556</v>
      </c>
    </row>
    <row r="258" spans="1:44">
      <c r="A258" s="295" t="s">
        <v>770</v>
      </c>
      <c r="B258" t="s">
        <v>769</v>
      </c>
      <c r="C258" t="s">
        <v>555</v>
      </c>
      <c r="D258">
        <v>130</v>
      </c>
      <c r="E258">
        <v>800</v>
      </c>
      <c r="F258">
        <v>0</v>
      </c>
      <c r="G258">
        <v>5445</v>
      </c>
      <c r="H258">
        <v>0.52</v>
      </c>
      <c r="K258" s="204" t="s">
        <v>297</v>
      </c>
      <c r="L258" s="204" t="s">
        <v>442</v>
      </c>
      <c r="M258" s="31">
        <v>567</v>
      </c>
      <c r="N258" s="31"/>
      <c r="O258" s="31">
        <v>2013</v>
      </c>
      <c r="P258" s="208" t="s">
        <v>337</v>
      </c>
      <c r="Q258" s="208" t="s">
        <v>337</v>
      </c>
      <c r="R258" s="208" t="s">
        <v>180</v>
      </c>
      <c r="S258" s="208" t="s">
        <v>353</v>
      </c>
      <c r="T258" s="208" t="s">
        <v>179</v>
      </c>
      <c r="U258" s="208" t="s">
        <v>344</v>
      </c>
      <c r="V258" s="208" t="s">
        <v>713</v>
      </c>
      <c r="W258" s="208" t="s">
        <v>356</v>
      </c>
      <c r="X258" s="208"/>
      <c r="Y258" s="208"/>
      <c r="AA258" s="208">
        <v>1</v>
      </c>
      <c r="AB258" s="208">
        <v>1.2</v>
      </c>
      <c r="AC258" s="208">
        <v>2</v>
      </c>
      <c r="AD258" s="208">
        <v>2.5</v>
      </c>
      <c r="AE258" s="208">
        <v>2.7</v>
      </c>
      <c r="AF258" s="208">
        <v>3</v>
      </c>
      <c r="AG258" s="208">
        <v>6</v>
      </c>
      <c r="AK258" s="208">
        <v>2.3199999999999998</v>
      </c>
      <c r="AL258" s="30">
        <v>1.69</v>
      </c>
      <c r="AM258" s="30">
        <v>0.6</v>
      </c>
      <c r="AN258" s="204"/>
    </row>
    <row r="259" spans="1:44">
      <c r="A259" s="295" t="s">
        <v>770</v>
      </c>
      <c r="B259" t="s">
        <v>551</v>
      </c>
      <c r="C259" s="204" t="s">
        <v>555</v>
      </c>
      <c r="D259">
        <v>30</v>
      </c>
      <c r="E259">
        <v>2500</v>
      </c>
      <c r="F259">
        <v>0</v>
      </c>
      <c r="G259" s="204">
        <v>1385</v>
      </c>
      <c r="H259" s="204">
        <v>0.71</v>
      </c>
      <c r="K259" s="204" t="s">
        <v>297</v>
      </c>
      <c r="L259" s="204" t="s">
        <v>442</v>
      </c>
      <c r="M259" s="31">
        <v>567</v>
      </c>
      <c r="N259" s="31"/>
      <c r="O259" s="31">
        <v>2013</v>
      </c>
      <c r="P259" s="208" t="s">
        <v>337</v>
      </c>
      <c r="Q259" s="208" t="s">
        <v>337</v>
      </c>
      <c r="R259" s="208" t="s">
        <v>180</v>
      </c>
      <c r="S259" s="208" t="s">
        <v>353</v>
      </c>
      <c r="T259" s="208" t="s">
        <v>179</v>
      </c>
      <c r="U259" s="208" t="s">
        <v>344</v>
      </c>
      <c r="V259" s="208" t="s">
        <v>713</v>
      </c>
      <c r="W259" s="208" t="s">
        <v>356</v>
      </c>
      <c r="X259" s="208"/>
      <c r="Y259" s="208"/>
      <c r="AA259" s="208">
        <v>1</v>
      </c>
      <c r="AB259" s="208">
        <v>1.2</v>
      </c>
      <c r="AC259" s="208">
        <v>2</v>
      </c>
      <c r="AD259" s="208">
        <v>2.5</v>
      </c>
      <c r="AE259" s="208">
        <v>2.7</v>
      </c>
      <c r="AF259" s="208">
        <v>3</v>
      </c>
      <c r="AG259" s="208">
        <v>6</v>
      </c>
      <c r="AK259" s="208">
        <v>2.3199999999999998</v>
      </c>
      <c r="AL259" s="215">
        <v>1.69</v>
      </c>
      <c r="AM259" s="30">
        <v>0.6</v>
      </c>
      <c r="AN259" s="204"/>
    </row>
    <row r="260" spans="1:44">
      <c r="A260" s="295" t="s">
        <v>770</v>
      </c>
      <c r="B260" t="s">
        <v>552</v>
      </c>
      <c r="C260" s="204" t="s">
        <v>555</v>
      </c>
      <c r="D260">
        <v>10</v>
      </c>
      <c r="E260">
        <v>800</v>
      </c>
      <c r="F260">
        <v>11.795999999999999</v>
      </c>
      <c r="G260">
        <v>-0.1905</v>
      </c>
      <c r="H260">
        <v>5.5399999999999998E-2</v>
      </c>
      <c r="I260" s="207">
        <v>0</v>
      </c>
      <c r="J260" s="207">
        <v>0</v>
      </c>
      <c r="K260" s="204" t="s">
        <v>557</v>
      </c>
      <c r="L260" s="204" t="s">
        <v>442</v>
      </c>
      <c r="M260" s="208">
        <v>567</v>
      </c>
      <c r="N260" s="208"/>
      <c r="O260" s="208">
        <v>2013</v>
      </c>
      <c r="P260" s="208" t="s">
        <v>337</v>
      </c>
      <c r="Q260" s="208" t="s">
        <v>337</v>
      </c>
      <c r="R260" s="208" t="s">
        <v>180</v>
      </c>
      <c r="S260" s="208" t="s">
        <v>353</v>
      </c>
      <c r="T260" s="208" t="s">
        <v>179</v>
      </c>
      <c r="U260" s="208" t="s">
        <v>344</v>
      </c>
      <c r="V260" s="208" t="s">
        <v>713</v>
      </c>
      <c r="W260" s="208" t="s">
        <v>356</v>
      </c>
      <c r="X260" s="363" t="s">
        <v>1720</v>
      </c>
      <c r="Y260" s="208"/>
      <c r="AA260" s="208">
        <v>1</v>
      </c>
      <c r="AB260" s="208">
        <v>1.2</v>
      </c>
      <c r="AC260" s="208">
        <v>2</v>
      </c>
      <c r="AD260" s="208">
        <v>2.5</v>
      </c>
      <c r="AE260" s="208">
        <v>2.7</v>
      </c>
      <c r="AF260" s="208">
        <v>3</v>
      </c>
      <c r="AG260" s="208">
        <v>6</v>
      </c>
      <c r="AH260" s="363">
        <v>1.25</v>
      </c>
      <c r="AK260" s="208">
        <v>2.3199999999999998</v>
      </c>
      <c r="AL260" s="215">
        <v>1.69</v>
      </c>
      <c r="AM260" s="214">
        <v>0.2</v>
      </c>
      <c r="AN260" s="204"/>
    </row>
    <row r="261" spans="1:44">
      <c r="A261" s="295" t="s">
        <v>770</v>
      </c>
      <c r="B261" t="s">
        <v>553</v>
      </c>
      <c r="C261" s="204" t="s">
        <v>555</v>
      </c>
      <c r="D261">
        <v>100</v>
      </c>
      <c r="E261">
        <v>1100</v>
      </c>
      <c r="F261">
        <v>0</v>
      </c>
      <c r="G261" s="204">
        <v>28010</v>
      </c>
      <c r="H261" s="204">
        <v>0.48</v>
      </c>
      <c r="K261" s="204" t="s">
        <v>297</v>
      </c>
      <c r="L261" s="204" t="s">
        <v>442</v>
      </c>
      <c r="M261" s="208">
        <v>567</v>
      </c>
      <c r="N261" s="208"/>
      <c r="O261" s="208">
        <v>2013</v>
      </c>
      <c r="P261" s="208" t="s">
        <v>337</v>
      </c>
      <c r="Q261" s="208" t="s">
        <v>337</v>
      </c>
      <c r="R261" s="208" t="s">
        <v>180</v>
      </c>
      <c r="S261" s="208" t="s">
        <v>353</v>
      </c>
      <c r="T261" s="208" t="s">
        <v>179</v>
      </c>
      <c r="U261" s="208" t="s">
        <v>344</v>
      </c>
      <c r="V261" s="208" t="s">
        <v>713</v>
      </c>
      <c r="W261" s="208" t="s">
        <v>356</v>
      </c>
      <c r="X261" s="208"/>
      <c r="Y261" s="208"/>
      <c r="AA261" s="208">
        <v>1</v>
      </c>
      <c r="AB261" s="208">
        <v>1.2</v>
      </c>
      <c r="AC261" s="208">
        <v>2</v>
      </c>
      <c r="AD261" s="208">
        <v>2.5</v>
      </c>
      <c r="AE261" s="208">
        <v>2.7</v>
      </c>
      <c r="AF261" s="208">
        <v>3</v>
      </c>
      <c r="AG261" s="208">
        <v>6</v>
      </c>
      <c r="AK261" s="208">
        <v>2.3199999999999998</v>
      </c>
      <c r="AL261" s="215">
        <v>1.69</v>
      </c>
      <c r="AM261" s="30">
        <v>0.1</v>
      </c>
      <c r="AN261" s="204"/>
    </row>
    <row r="262" spans="1:44">
      <c r="A262" s="295" t="s">
        <v>770</v>
      </c>
      <c r="B262" t="s">
        <v>558</v>
      </c>
      <c r="C262" t="s">
        <v>559</v>
      </c>
      <c r="D262">
        <v>8000</v>
      </c>
      <c r="E262">
        <v>800000</v>
      </c>
      <c r="F262">
        <v>0</v>
      </c>
      <c r="G262">
        <v>1.7999999999999999E-2</v>
      </c>
      <c r="H262">
        <v>1.33</v>
      </c>
      <c r="K262" s="204" t="s">
        <v>297</v>
      </c>
      <c r="L262" s="204" t="s">
        <v>442</v>
      </c>
      <c r="M262" s="208">
        <v>567</v>
      </c>
      <c r="N262" s="208"/>
      <c r="O262" s="208">
        <v>2013</v>
      </c>
      <c r="P262" s="208" t="s">
        <v>337</v>
      </c>
      <c r="Q262" s="208" t="s">
        <v>337</v>
      </c>
      <c r="R262" s="208" t="s">
        <v>180</v>
      </c>
      <c r="S262" s="208" t="s">
        <v>353</v>
      </c>
      <c r="T262" s="208" t="s">
        <v>179</v>
      </c>
      <c r="U262" s="208" t="s">
        <v>344</v>
      </c>
      <c r="V262" s="208" t="s">
        <v>713</v>
      </c>
      <c r="W262" s="208" t="s">
        <v>356</v>
      </c>
      <c r="X262" s="208"/>
      <c r="Y262" s="208"/>
      <c r="AA262" s="208">
        <v>1</v>
      </c>
      <c r="AB262" s="208">
        <v>1.2</v>
      </c>
      <c r="AC262" s="208">
        <v>2</v>
      </c>
      <c r="AD262" s="208">
        <v>2.5</v>
      </c>
      <c r="AE262" s="208">
        <v>2.7</v>
      </c>
      <c r="AF262" s="208">
        <v>3</v>
      </c>
      <c r="AG262" s="208">
        <v>6</v>
      </c>
      <c r="AH262" s="204"/>
      <c r="AI262" s="204"/>
      <c r="AK262" s="204" t="s">
        <v>162</v>
      </c>
      <c r="AL262" s="204">
        <v>2.12</v>
      </c>
      <c r="AM262" s="27">
        <v>0.1</v>
      </c>
      <c r="AN262" s="204"/>
    </row>
    <row r="263" spans="1:44">
      <c r="A263" s="295" t="s">
        <v>770</v>
      </c>
      <c r="B263" t="s">
        <v>560</v>
      </c>
      <c r="C263" t="s">
        <v>561</v>
      </c>
      <c r="D263">
        <v>8</v>
      </c>
      <c r="E263">
        <v>1200</v>
      </c>
      <c r="F263">
        <v>0</v>
      </c>
      <c r="G263">
        <v>275</v>
      </c>
      <c r="H263">
        <v>0.5</v>
      </c>
      <c r="K263" s="204" t="s">
        <v>297</v>
      </c>
      <c r="L263" s="204" t="s">
        <v>442</v>
      </c>
      <c r="M263" s="208">
        <v>567</v>
      </c>
      <c r="N263" s="208"/>
      <c r="O263" s="208">
        <v>2013</v>
      </c>
      <c r="P263" s="208" t="s">
        <v>337</v>
      </c>
      <c r="Q263" s="208" t="s">
        <v>337</v>
      </c>
      <c r="R263" s="208" t="s">
        <v>180</v>
      </c>
      <c r="S263" s="208" t="s">
        <v>353</v>
      </c>
      <c r="T263" s="208" t="s">
        <v>179</v>
      </c>
      <c r="U263" s="208" t="s">
        <v>344</v>
      </c>
      <c r="V263" s="208" t="s">
        <v>713</v>
      </c>
      <c r="W263" s="208" t="s">
        <v>356</v>
      </c>
      <c r="X263" s="208"/>
      <c r="Y263" s="208"/>
      <c r="AA263" s="208">
        <v>1</v>
      </c>
      <c r="AB263" s="208">
        <v>1.2</v>
      </c>
      <c r="AC263" s="208">
        <v>2</v>
      </c>
      <c r="AD263" s="208">
        <v>2.5</v>
      </c>
      <c r="AE263" s="208">
        <v>2.7</v>
      </c>
      <c r="AF263" s="208">
        <v>3</v>
      </c>
      <c r="AG263" s="208">
        <v>6</v>
      </c>
      <c r="AH263" s="204"/>
      <c r="AI263" s="204"/>
      <c r="AK263" s="204" t="s">
        <v>162</v>
      </c>
      <c r="AL263" s="27">
        <v>2.12</v>
      </c>
      <c r="AM263" s="27">
        <v>0.1</v>
      </c>
      <c r="AN263" s="204"/>
    </row>
    <row r="264" spans="1:44">
      <c r="A264" s="295" t="s">
        <v>770</v>
      </c>
      <c r="B264" t="s">
        <v>562</v>
      </c>
      <c r="C264" t="s">
        <v>568</v>
      </c>
      <c r="D264">
        <v>20</v>
      </c>
      <c r="E264">
        <v>43</v>
      </c>
      <c r="F264">
        <v>0</v>
      </c>
      <c r="G264">
        <v>2270</v>
      </c>
      <c r="H264">
        <v>0.95</v>
      </c>
      <c r="K264" s="204" t="s">
        <v>297</v>
      </c>
      <c r="L264" s="204" t="s">
        <v>442</v>
      </c>
      <c r="M264" s="208">
        <v>567</v>
      </c>
      <c r="N264" s="208"/>
      <c r="O264" s="208">
        <v>2013</v>
      </c>
      <c r="P264" s="208" t="s">
        <v>353</v>
      </c>
      <c r="Q264" s="208" t="s">
        <v>337</v>
      </c>
      <c r="R264" s="208" t="s">
        <v>180</v>
      </c>
      <c r="S264" s="208" t="s">
        <v>353</v>
      </c>
      <c r="T264" s="208" t="s">
        <v>179</v>
      </c>
      <c r="U264" s="208" t="s">
        <v>344</v>
      </c>
      <c r="V264" s="208" t="s">
        <v>713</v>
      </c>
      <c r="W264" s="208" t="s">
        <v>356</v>
      </c>
      <c r="X264" s="208"/>
      <c r="Y264" s="208"/>
      <c r="AA264" s="208">
        <v>0.5</v>
      </c>
      <c r="AB264" s="208">
        <v>0.6</v>
      </c>
      <c r="AC264" s="208">
        <v>1</v>
      </c>
      <c r="AD264" s="208">
        <v>1.25</v>
      </c>
      <c r="AE264" s="208">
        <v>1.35</v>
      </c>
      <c r="AF264" s="208">
        <v>1.5</v>
      </c>
      <c r="AG264" s="208">
        <v>3</v>
      </c>
      <c r="AK264" s="208">
        <v>2.0299999999999998</v>
      </c>
      <c r="AL264" s="30">
        <v>1.54</v>
      </c>
      <c r="AM264" s="30">
        <v>7.4999999999999997E-2</v>
      </c>
      <c r="AN264" s="204" t="s">
        <v>353</v>
      </c>
    </row>
    <row r="265" spans="1:44">
      <c r="A265" s="295" t="s">
        <v>770</v>
      </c>
      <c r="B265" t="s">
        <v>563</v>
      </c>
      <c r="C265" s="204" t="s">
        <v>568</v>
      </c>
      <c r="D265">
        <v>20</v>
      </c>
      <c r="E265">
        <v>43</v>
      </c>
      <c r="F265">
        <v>0</v>
      </c>
      <c r="G265">
        <v>975</v>
      </c>
      <c r="H265">
        <v>1</v>
      </c>
      <c r="K265" s="204" t="s">
        <v>297</v>
      </c>
      <c r="L265" s="204" t="s">
        <v>442</v>
      </c>
      <c r="M265" s="208">
        <v>567</v>
      </c>
      <c r="N265" s="208"/>
      <c r="O265" s="208">
        <v>2013</v>
      </c>
      <c r="P265" s="208" t="s">
        <v>353</v>
      </c>
      <c r="Q265" s="208" t="s">
        <v>337</v>
      </c>
      <c r="R265" s="208" t="s">
        <v>180</v>
      </c>
      <c r="S265" s="208" t="s">
        <v>353</v>
      </c>
      <c r="T265" s="208" t="s">
        <v>179</v>
      </c>
      <c r="U265" s="208" t="s">
        <v>344</v>
      </c>
      <c r="V265" s="208" t="s">
        <v>713</v>
      </c>
      <c r="W265" s="208" t="s">
        <v>356</v>
      </c>
      <c r="X265" s="208"/>
      <c r="Y265" s="208"/>
      <c r="AA265" s="208">
        <v>0.5</v>
      </c>
      <c r="AB265" s="208">
        <v>0.6</v>
      </c>
      <c r="AC265" s="208">
        <v>1</v>
      </c>
      <c r="AD265" s="208">
        <v>1.25</v>
      </c>
      <c r="AE265" s="208">
        <v>1.35</v>
      </c>
      <c r="AF265" s="208">
        <v>1.5</v>
      </c>
      <c r="AG265" s="208">
        <v>3</v>
      </c>
      <c r="AH265" s="204"/>
      <c r="AI265" s="204"/>
      <c r="AK265" s="208">
        <v>2.0299999999999998</v>
      </c>
      <c r="AL265" s="215">
        <v>1.54</v>
      </c>
      <c r="AM265" s="214">
        <v>7.4999999999999997E-2</v>
      </c>
      <c r="AN265" s="204" t="s">
        <v>353</v>
      </c>
    </row>
    <row r="266" spans="1:44">
      <c r="A266" s="295" t="s">
        <v>770</v>
      </c>
      <c r="B266" t="s">
        <v>564</v>
      </c>
      <c r="C266" s="204" t="s">
        <v>568</v>
      </c>
      <c r="D266">
        <v>20</v>
      </c>
      <c r="E266">
        <v>70</v>
      </c>
      <c r="F266">
        <v>0</v>
      </c>
      <c r="G266" s="204">
        <v>6180</v>
      </c>
      <c r="H266" s="204">
        <v>0.94</v>
      </c>
      <c r="K266" s="204" t="s">
        <v>297</v>
      </c>
      <c r="L266" s="204" t="s">
        <v>442</v>
      </c>
      <c r="M266" s="208">
        <v>567</v>
      </c>
      <c r="N266" s="208"/>
      <c r="O266" s="208">
        <v>2013</v>
      </c>
      <c r="P266" s="208" t="s">
        <v>353</v>
      </c>
      <c r="Q266" s="208" t="s">
        <v>337</v>
      </c>
      <c r="R266" s="208" t="s">
        <v>180</v>
      </c>
      <c r="S266" s="208" t="s">
        <v>353</v>
      </c>
      <c r="T266" s="208" t="s">
        <v>179</v>
      </c>
      <c r="U266" s="208" t="s">
        <v>344</v>
      </c>
      <c r="V266" s="208" t="s">
        <v>713</v>
      </c>
      <c r="W266" s="208" t="s">
        <v>356</v>
      </c>
      <c r="X266" s="208"/>
      <c r="Y266" s="208"/>
      <c r="AA266" s="208">
        <v>0.5</v>
      </c>
      <c r="AB266" s="208">
        <v>0.6</v>
      </c>
      <c r="AC266" s="208">
        <v>1</v>
      </c>
      <c r="AD266" s="208">
        <v>1.25</v>
      </c>
      <c r="AE266" s="208">
        <v>1.35</v>
      </c>
      <c r="AF266" s="208">
        <v>1.5</v>
      </c>
      <c r="AG266" s="208">
        <v>3</v>
      </c>
      <c r="AH266" s="204"/>
      <c r="AI266" s="204"/>
      <c r="AK266" s="208">
        <v>2.0299999999999998</v>
      </c>
      <c r="AL266" s="215">
        <v>1.54</v>
      </c>
      <c r="AM266" s="214">
        <v>7.4999999999999997E-2</v>
      </c>
      <c r="AN266" s="204" t="s">
        <v>353</v>
      </c>
    </row>
    <row r="267" spans="1:44">
      <c r="A267" s="295" t="s">
        <v>770</v>
      </c>
      <c r="B267" t="s">
        <v>565</v>
      </c>
      <c r="C267" s="204" t="s">
        <v>568</v>
      </c>
      <c r="D267">
        <v>20</v>
      </c>
      <c r="E267">
        <v>43</v>
      </c>
      <c r="F267">
        <v>0</v>
      </c>
      <c r="G267" s="204">
        <v>2440</v>
      </c>
      <c r="H267" s="204">
        <v>1.1100000000000001</v>
      </c>
      <c r="K267" s="204" t="s">
        <v>297</v>
      </c>
      <c r="L267" s="204" t="s">
        <v>442</v>
      </c>
      <c r="M267" s="208">
        <v>567</v>
      </c>
      <c r="N267" s="208"/>
      <c r="O267" s="208">
        <v>2013</v>
      </c>
      <c r="P267" s="208" t="s">
        <v>353</v>
      </c>
      <c r="Q267" s="208" t="s">
        <v>337</v>
      </c>
      <c r="R267" s="208" t="s">
        <v>180</v>
      </c>
      <c r="S267" s="208" t="s">
        <v>353</v>
      </c>
      <c r="T267" s="208" t="s">
        <v>179</v>
      </c>
      <c r="U267" s="208" t="s">
        <v>344</v>
      </c>
      <c r="V267" s="208" t="s">
        <v>713</v>
      </c>
      <c r="W267" s="208" t="s">
        <v>356</v>
      </c>
      <c r="X267" s="208"/>
      <c r="Y267" s="208"/>
      <c r="AA267" s="208">
        <v>0.5</v>
      </c>
      <c r="AB267" s="208">
        <v>0.6</v>
      </c>
      <c r="AC267" s="208">
        <v>1</v>
      </c>
      <c r="AD267" s="208">
        <v>1.25</v>
      </c>
      <c r="AE267" s="208">
        <v>1.35</v>
      </c>
      <c r="AF267" s="208">
        <v>1.5</v>
      </c>
      <c r="AG267" s="208">
        <v>3</v>
      </c>
      <c r="AH267" s="204"/>
      <c r="AI267" s="204"/>
      <c r="AK267" s="208">
        <v>2.0299999999999998</v>
      </c>
      <c r="AL267" s="215">
        <v>1.54</v>
      </c>
      <c r="AM267" s="214">
        <v>7.4999999999999997E-2</v>
      </c>
      <c r="AN267" s="204" t="s">
        <v>353</v>
      </c>
    </row>
    <row r="268" spans="1:44">
      <c r="A268" s="295" t="s">
        <v>770</v>
      </c>
      <c r="B268" t="s">
        <v>566</v>
      </c>
      <c r="C268" t="s">
        <v>569</v>
      </c>
      <c r="D268">
        <v>1</v>
      </c>
      <c r="E268">
        <v>20</v>
      </c>
      <c r="F268">
        <v>0</v>
      </c>
      <c r="G268">
        <v>170100</v>
      </c>
      <c r="H268">
        <v>0.3</v>
      </c>
      <c r="K268" s="204" t="s">
        <v>297</v>
      </c>
      <c r="L268" s="204" t="s">
        <v>442</v>
      </c>
      <c r="M268" s="208">
        <v>567</v>
      </c>
      <c r="N268" s="208"/>
      <c r="O268" s="208">
        <v>2013</v>
      </c>
      <c r="P268" s="208" t="s">
        <v>353</v>
      </c>
      <c r="Q268" s="208" t="s">
        <v>337</v>
      </c>
      <c r="R268" s="208" t="s">
        <v>180</v>
      </c>
      <c r="S268" s="208" t="s">
        <v>353</v>
      </c>
      <c r="T268" s="208" t="s">
        <v>179</v>
      </c>
      <c r="U268" s="208" t="s">
        <v>344</v>
      </c>
      <c r="V268" s="208" t="s">
        <v>713</v>
      </c>
      <c r="W268" s="208" t="s">
        <v>356</v>
      </c>
      <c r="X268" s="208"/>
      <c r="Y268" s="208"/>
      <c r="AA268" s="208">
        <v>0.5</v>
      </c>
      <c r="AB268" s="208">
        <v>0.6</v>
      </c>
      <c r="AC268" s="208">
        <v>1</v>
      </c>
      <c r="AD268" s="208">
        <v>1.25</v>
      </c>
      <c r="AE268" s="208">
        <v>1.35</v>
      </c>
      <c r="AF268" s="208">
        <v>1.5</v>
      </c>
      <c r="AG268" s="208">
        <v>3</v>
      </c>
      <c r="AH268" s="204"/>
      <c r="AI268" s="204"/>
      <c r="AK268" s="208">
        <v>2.0299999999999998</v>
      </c>
      <c r="AL268" s="215">
        <v>1.54</v>
      </c>
      <c r="AM268" s="214">
        <v>7.4999999999999997E-2</v>
      </c>
      <c r="AN268" s="204" t="s">
        <v>353</v>
      </c>
    </row>
    <row r="269" spans="1:44">
      <c r="A269" s="295" t="s">
        <v>770</v>
      </c>
      <c r="B269" t="s">
        <v>567</v>
      </c>
      <c r="C269" s="204" t="s">
        <v>569</v>
      </c>
      <c r="D269">
        <v>2</v>
      </c>
      <c r="E269">
        <v>40</v>
      </c>
      <c r="F269">
        <v>0</v>
      </c>
      <c r="G269">
        <v>68040</v>
      </c>
      <c r="H269">
        <v>0.5</v>
      </c>
      <c r="K269" s="204" t="s">
        <v>297</v>
      </c>
      <c r="L269" s="204" t="s">
        <v>442</v>
      </c>
      <c r="M269" s="208">
        <v>567</v>
      </c>
      <c r="N269" s="208"/>
      <c r="O269" s="208">
        <v>2013</v>
      </c>
      <c r="P269" s="208" t="s">
        <v>353</v>
      </c>
      <c r="Q269" s="208" t="s">
        <v>337</v>
      </c>
      <c r="R269" s="208" t="s">
        <v>180</v>
      </c>
      <c r="S269" s="208" t="s">
        <v>353</v>
      </c>
      <c r="T269" s="208" t="s">
        <v>179</v>
      </c>
      <c r="U269" s="208" t="s">
        <v>344</v>
      </c>
      <c r="V269" s="208" t="s">
        <v>713</v>
      </c>
      <c r="W269" s="208" t="s">
        <v>356</v>
      </c>
      <c r="X269" s="208"/>
      <c r="Y269" s="208"/>
      <c r="AA269" s="208">
        <v>0.5</v>
      </c>
      <c r="AB269" s="208">
        <v>0.6</v>
      </c>
      <c r="AC269" s="208">
        <v>1</v>
      </c>
      <c r="AD269" s="208">
        <v>1.25</v>
      </c>
      <c r="AE269" s="208">
        <v>1.35</v>
      </c>
      <c r="AF269" s="208">
        <v>1.5</v>
      </c>
      <c r="AG269" s="208">
        <v>3</v>
      </c>
      <c r="AH269" s="204"/>
      <c r="AI269" s="204"/>
      <c r="AK269" s="208">
        <v>2.0299999999999998</v>
      </c>
      <c r="AL269" s="215">
        <v>1.54</v>
      </c>
      <c r="AM269" s="214">
        <v>7.4999999999999997E-2</v>
      </c>
      <c r="AN269" s="204" t="s">
        <v>353</v>
      </c>
    </row>
    <row r="270" spans="1:44">
      <c r="Q270" s="208"/>
      <c r="R270" s="208"/>
      <c r="S270" s="208"/>
      <c r="T270" s="208"/>
      <c r="U270" s="208"/>
      <c r="V270" s="208"/>
      <c r="W270" s="208"/>
      <c r="X270" s="208"/>
      <c r="Y270" s="208"/>
      <c r="AA270" s="208"/>
      <c r="AB270" s="208"/>
      <c r="AC270" s="208"/>
      <c r="AD270" s="208"/>
      <c r="AE270" s="208"/>
      <c r="AF270" s="208"/>
      <c r="AG270" s="208"/>
    </row>
    <row r="271" spans="1:44" s="29" customFormat="1">
      <c r="B271" s="29" t="s">
        <v>748</v>
      </c>
      <c r="I271" s="207"/>
      <c r="J271" s="207"/>
      <c r="R271" s="30"/>
      <c r="S271" s="30"/>
      <c r="T271" s="30"/>
      <c r="U271" s="30"/>
      <c r="V271" s="30"/>
      <c r="W271" s="30"/>
      <c r="X271" s="30"/>
      <c r="Y271" s="30"/>
      <c r="Z271" s="208"/>
      <c r="AA271" s="30"/>
      <c r="AB271" s="30"/>
      <c r="AC271" s="30"/>
      <c r="AD271" s="30"/>
      <c r="AE271" s="30"/>
      <c r="AF271" s="30"/>
      <c r="AG271" s="30"/>
      <c r="AH271" s="30"/>
      <c r="AI271" s="30"/>
      <c r="AJ271" s="208"/>
      <c r="AL271" s="30"/>
      <c r="AM271" s="30"/>
      <c r="AR271" s="217"/>
    </row>
    <row r="272" spans="1:44" s="29" customFormat="1">
      <c r="A272" s="295" t="s">
        <v>748</v>
      </c>
      <c r="B272" s="29" t="s">
        <v>791</v>
      </c>
      <c r="C272" s="29" t="s">
        <v>304</v>
      </c>
      <c r="D272" s="29">
        <v>0.5</v>
      </c>
      <c r="E272" s="29">
        <v>15</v>
      </c>
      <c r="F272" s="29">
        <v>0</v>
      </c>
      <c r="G272" s="29">
        <v>29380.891365988631</v>
      </c>
      <c r="H272" s="29">
        <v>0.5525481665568498</v>
      </c>
      <c r="I272" s="207"/>
      <c r="J272" s="207"/>
      <c r="K272" s="29" t="s">
        <v>297</v>
      </c>
      <c r="L272" s="29" t="s">
        <v>468</v>
      </c>
      <c r="M272" s="29">
        <v>400</v>
      </c>
      <c r="O272" s="29">
        <v>2004</v>
      </c>
      <c r="Q272" s="29" t="s">
        <v>337</v>
      </c>
      <c r="R272" s="30" t="s">
        <v>352</v>
      </c>
      <c r="S272" s="30" t="s">
        <v>353</v>
      </c>
      <c r="T272" s="30"/>
      <c r="U272" s="30"/>
      <c r="V272" s="30"/>
      <c r="W272" s="30"/>
      <c r="X272" s="30"/>
      <c r="Y272" s="30"/>
      <c r="Z272" s="208"/>
      <c r="AA272" s="30">
        <v>1</v>
      </c>
      <c r="AB272" s="30">
        <v>1.25</v>
      </c>
      <c r="AC272" s="30">
        <v>1.5</v>
      </c>
      <c r="AD272" s="30"/>
      <c r="AE272" s="30"/>
      <c r="AF272" s="30"/>
      <c r="AG272" s="30"/>
      <c r="AH272" s="30"/>
      <c r="AI272" s="30"/>
      <c r="AJ272" s="208"/>
      <c r="AK272" s="29">
        <v>2.4</v>
      </c>
      <c r="AL272" s="30">
        <v>1.69</v>
      </c>
      <c r="AM272" s="214">
        <v>0.2</v>
      </c>
      <c r="AR272" s="217"/>
    </row>
    <row r="273" spans="1:44" s="29" customFormat="1">
      <c r="A273" s="295" t="s">
        <v>748</v>
      </c>
      <c r="B273" s="29" t="s">
        <v>792</v>
      </c>
      <c r="C273" s="29" t="s">
        <v>304</v>
      </c>
      <c r="D273" s="29">
        <v>1</v>
      </c>
      <c r="E273" s="29">
        <v>100</v>
      </c>
      <c r="F273" s="29">
        <v>0</v>
      </c>
      <c r="G273" s="29">
        <v>30000.000000000062</v>
      </c>
      <c r="H273" s="29">
        <v>0.44230329064896523</v>
      </c>
      <c r="I273" s="207"/>
      <c r="J273" s="207"/>
      <c r="K273" s="29" t="s">
        <v>297</v>
      </c>
      <c r="L273" s="203" t="s">
        <v>468</v>
      </c>
      <c r="M273" s="29">
        <v>400</v>
      </c>
      <c r="O273" s="29">
        <v>2004</v>
      </c>
      <c r="Q273" s="30" t="s">
        <v>337</v>
      </c>
      <c r="R273" s="30" t="s">
        <v>352</v>
      </c>
      <c r="S273" s="30" t="s">
        <v>353</v>
      </c>
      <c r="T273" s="30"/>
      <c r="U273" s="30"/>
      <c r="V273" s="30"/>
      <c r="W273" s="30"/>
      <c r="X273" s="30"/>
      <c r="Y273" s="30"/>
      <c r="Z273" s="208"/>
      <c r="AA273" s="30">
        <v>1</v>
      </c>
      <c r="AB273" s="30">
        <v>1.25</v>
      </c>
      <c r="AC273" s="30">
        <v>1.5</v>
      </c>
      <c r="AD273" s="30"/>
      <c r="AE273" s="30"/>
      <c r="AF273" s="30"/>
      <c r="AG273" s="30"/>
      <c r="AH273" s="30"/>
      <c r="AI273" s="30"/>
      <c r="AJ273" s="208"/>
      <c r="AK273" s="29">
        <v>2.4</v>
      </c>
      <c r="AL273" s="30">
        <v>1.69</v>
      </c>
      <c r="AM273" s="30">
        <v>0.1</v>
      </c>
      <c r="AR273" s="217"/>
    </row>
    <row r="274" spans="1:44" s="29" customFormat="1">
      <c r="A274" s="295" t="s">
        <v>748</v>
      </c>
      <c r="B274" s="29" t="s">
        <v>230</v>
      </c>
      <c r="C274" s="29" t="s">
        <v>231</v>
      </c>
      <c r="D274" s="29">
        <v>0.26</v>
      </c>
      <c r="E274" s="29">
        <v>0.49</v>
      </c>
      <c r="F274" s="29">
        <v>57000</v>
      </c>
      <c r="G274" s="29">
        <v>480000</v>
      </c>
      <c r="H274" s="29">
        <v>0.7</v>
      </c>
      <c r="I274" s="207"/>
      <c r="J274" s="207"/>
      <c r="K274" s="29" t="s">
        <v>297</v>
      </c>
      <c r="L274" s="200" t="s">
        <v>443</v>
      </c>
      <c r="M274" s="29">
        <v>532.9</v>
      </c>
      <c r="N274" s="29">
        <v>2281.6</v>
      </c>
      <c r="O274" s="29">
        <v>2010</v>
      </c>
      <c r="Q274" s="31" t="s">
        <v>337</v>
      </c>
      <c r="R274" s="31" t="s">
        <v>338</v>
      </c>
      <c r="S274" s="31" t="s">
        <v>339</v>
      </c>
      <c r="T274" s="31" t="s">
        <v>340</v>
      </c>
      <c r="U274" s="31" t="s">
        <v>341</v>
      </c>
      <c r="V274" s="31" t="s">
        <v>342</v>
      </c>
      <c r="W274" s="31" t="s">
        <v>343</v>
      </c>
      <c r="X274" s="31" t="s">
        <v>344</v>
      </c>
      <c r="Y274" s="31" t="s">
        <v>345</v>
      </c>
      <c r="Z274" s="31"/>
      <c r="AA274" s="31">
        <v>1</v>
      </c>
      <c r="AB274" s="31">
        <v>1.07</v>
      </c>
      <c r="AC274" s="31">
        <v>1.1000000000000001</v>
      </c>
      <c r="AD274" s="31">
        <v>1.3</v>
      </c>
      <c r="AE274" s="31">
        <v>1.3</v>
      </c>
      <c r="AF274" s="31">
        <v>1.5</v>
      </c>
      <c r="AG274" s="31">
        <v>1.55</v>
      </c>
      <c r="AH274" s="31">
        <v>1.65</v>
      </c>
      <c r="AI274" s="31">
        <v>1.7</v>
      </c>
      <c r="AJ274" s="31"/>
      <c r="AK274" s="31">
        <v>2.0299999999999998</v>
      </c>
      <c r="AL274" s="31">
        <v>1.54</v>
      </c>
      <c r="AM274" s="214">
        <v>7.4999999999999997E-2</v>
      </c>
      <c r="AR274" s="217"/>
    </row>
    <row r="275" spans="1:44" s="29" customFormat="1">
      <c r="A275" s="295" t="s">
        <v>748</v>
      </c>
      <c r="B275" s="29" t="s">
        <v>232</v>
      </c>
      <c r="C275" s="29" t="s">
        <v>233</v>
      </c>
      <c r="D275" s="29">
        <v>2</v>
      </c>
      <c r="E275" s="29">
        <v>20</v>
      </c>
      <c r="F275" s="29">
        <v>65000</v>
      </c>
      <c r="G275" s="29">
        <v>750</v>
      </c>
      <c r="H275" s="29">
        <v>1.5</v>
      </c>
      <c r="I275" s="207"/>
      <c r="J275" s="207"/>
      <c r="K275" s="29" t="s">
        <v>297</v>
      </c>
      <c r="L275" s="200" t="s">
        <v>443</v>
      </c>
      <c r="M275" s="29">
        <v>532.9</v>
      </c>
      <c r="N275" s="29">
        <v>2281.6</v>
      </c>
      <c r="O275" s="29">
        <v>2010</v>
      </c>
      <c r="Q275" s="31" t="s">
        <v>337</v>
      </c>
      <c r="R275" s="31" t="s">
        <v>338</v>
      </c>
      <c r="S275" s="31" t="s">
        <v>339</v>
      </c>
      <c r="T275" s="31" t="s">
        <v>340</v>
      </c>
      <c r="U275" s="31" t="s">
        <v>341</v>
      </c>
      <c r="V275" s="31" t="s">
        <v>342</v>
      </c>
      <c r="W275" s="31" t="s">
        <v>343</v>
      </c>
      <c r="X275" s="31" t="s">
        <v>344</v>
      </c>
      <c r="Y275" s="31" t="s">
        <v>345</v>
      </c>
      <c r="Z275" s="31"/>
      <c r="AA275" s="31">
        <v>1</v>
      </c>
      <c r="AB275" s="31">
        <v>1.07</v>
      </c>
      <c r="AC275" s="31">
        <v>1.1000000000000001</v>
      </c>
      <c r="AD275" s="31">
        <v>1.3</v>
      </c>
      <c r="AE275" s="31">
        <v>1.3</v>
      </c>
      <c r="AF275" s="31">
        <v>1.5</v>
      </c>
      <c r="AG275" s="31">
        <v>1.55</v>
      </c>
      <c r="AH275" s="31">
        <v>1.65</v>
      </c>
      <c r="AI275" s="31">
        <v>1.7</v>
      </c>
      <c r="AJ275" s="31"/>
      <c r="AK275" s="31">
        <v>2.0299999999999998</v>
      </c>
      <c r="AL275" s="31">
        <v>1.54</v>
      </c>
      <c r="AM275" s="214">
        <v>7.4999999999999997E-2</v>
      </c>
      <c r="AR275" s="217"/>
    </row>
    <row r="276" spans="1:44" s="29" customFormat="1">
      <c r="A276" s="295" t="s">
        <v>748</v>
      </c>
      <c r="B276" s="29" t="s">
        <v>768</v>
      </c>
      <c r="C276" s="29" t="s">
        <v>256</v>
      </c>
      <c r="D276" s="29">
        <v>0.4</v>
      </c>
      <c r="E276" s="29">
        <v>1.4</v>
      </c>
      <c r="F276" s="29">
        <v>128000</v>
      </c>
      <c r="G276" s="29">
        <v>89000</v>
      </c>
      <c r="H276" s="29">
        <v>0.5</v>
      </c>
      <c r="I276" s="207"/>
      <c r="J276" s="207"/>
      <c r="K276" s="29" t="s">
        <v>297</v>
      </c>
      <c r="L276" s="200" t="s">
        <v>443</v>
      </c>
      <c r="M276" s="29">
        <v>532.9</v>
      </c>
      <c r="N276" s="29">
        <v>2281.6</v>
      </c>
      <c r="O276" s="29">
        <v>2010</v>
      </c>
      <c r="Q276" s="31" t="s">
        <v>337</v>
      </c>
      <c r="R276" s="31" t="s">
        <v>338</v>
      </c>
      <c r="S276" s="31" t="s">
        <v>339</v>
      </c>
      <c r="T276" s="31" t="s">
        <v>340</v>
      </c>
      <c r="U276" s="31" t="s">
        <v>341</v>
      </c>
      <c r="V276" s="31" t="s">
        <v>342</v>
      </c>
      <c r="W276" s="31" t="s">
        <v>343</v>
      </c>
      <c r="X276" s="31" t="s">
        <v>344</v>
      </c>
      <c r="Y276" s="31" t="s">
        <v>345</v>
      </c>
      <c r="Z276" s="31"/>
      <c r="AA276" s="31">
        <v>1</v>
      </c>
      <c r="AB276" s="31">
        <v>1.07</v>
      </c>
      <c r="AC276" s="31">
        <v>1.1000000000000001</v>
      </c>
      <c r="AD276" s="31">
        <v>1.3</v>
      </c>
      <c r="AE276" s="31">
        <v>1.3</v>
      </c>
      <c r="AF276" s="31">
        <v>1.5</v>
      </c>
      <c r="AG276" s="31">
        <v>1.55</v>
      </c>
      <c r="AH276" s="31">
        <v>1.65</v>
      </c>
      <c r="AI276" s="31">
        <v>1.7</v>
      </c>
      <c r="AJ276" s="31"/>
      <c r="AK276" s="31">
        <v>2.3199999999999998</v>
      </c>
      <c r="AL276" s="31">
        <v>1.69</v>
      </c>
      <c r="AM276" s="31">
        <v>0.6</v>
      </c>
      <c r="AR276" s="217"/>
    </row>
    <row r="277" spans="1:44" s="29" customFormat="1">
      <c r="A277" s="295" t="s">
        <v>748</v>
      </c>
      <c r="B277" s="29" t="s">
        <v>790</v>
      </c>
      <c r="C277" s="29" t="s">
        <v>251</v>
      </c>
      <c r="D277" s="29">
        <v>10</v>
      </c>
      <c r="E277" s="29">
        <v>180</v>
      </c>
      <c r="F277" s="29">
        <v>-73000</v>
      </c>
      <c r="G277" s="29">
        <v>93000</v>
      </c>
      <c r="H277" s="29">
        <v>0.3</v>
      </c>
      <c r="I277" s="207"/>
      <c r="J277" s="207"/>
      <c r="K277" s="29" t="s">
        <v>297</v>
      </c>
      <c r="L277" s="200" t="s">
        <v>443</v>
      </c>
      <c r="M277" s="29">
        <v>532.9</v>
      </c>
      <c r="N277" s="29">
        <v>2281.6</v>
      </c>
      <c r="O277" s="29">
        <v>2010</v>
      </c>
      <c r="Q277" s="31" t="s">
        <v>337</v>
      </c>
      <c r="R277" s="31" t="s">
        <v>338</v>
      </c>
      <c r="S277" s="31" t="s">
        <v>339</v>
      </c>
      <c r="T277" s="31" t="s">
        <v>340</v>
      </c>
      <c r="U277" s="31" t="s">
        <v>341</v>
      </c>
      <c r="V277" s="31" t="s">
        <v>342</v>
      </c>
      <c r="W277" s="31" t="s">
        <v>343</v>
      </c>
      <c r="X277" s="31" t="s">
        <v>344</v>
      </c>
      <c r="Y277" s="31" t="s">
        <v>345</v>
      </c>
      <c r="Z277" s="31"/>
      <c r="AA277" s="31">
        <v>1</v>
      </c>
      <c r="AB277" s="31">
        <v>1.07</v>
      </c>
      <c r="AC277" s="31">
        <v>1.1000000000000001</v>
      </c>
      <c r="AD277" s="31">
        <v>1.3</v>
      </c>
      <c r="AE277" s="31">
        <v>1.3</v>
      </c>
      <c r="AF277" s="31">
        <v>1.5</v>
      </c>
      <c r="AG277" s="31">
        <v>1.55</v>
      </c>
      <c r="AH277" s="31">
        <v>1.65</v>
      </c>
      <c r="AI277" s="31">
        <v>1.7</v>
      </c>
      <c r="AJ277" s="31"/>
      <c r="AK277" s="31">
        <v>2.3199999999999998</v>
      </c>
      <c r="AL277" s="31">
        <v>1.69</v>
      </c>
      <c r="AM277" s="214">
        <v>0.2</v>
      </c>
      <c r="AR277" s="217"/>
    </row>
    <row r="278" spans="1:44" s="29" customFormat="1">
      <c r="I278" s="207"/>
      <c r="J278" s="207"/>
      <c r="R278" s="30"/>
      <c r="S278" s="30"/>
      <c r="T278" s="30"/>
      <c r="U278" s="30"/>
      <c r="V278" s="30"/>
      <c r="W278" s="30"/>
      <c r="X278" s="30"/>
      <c r="Y278" s="30"/>
      <c r="Z278" s="208"/>
      <c r="AA278" s="30"/>
      <c r="AB278" s="30"/>
      <c r="AC278" s="30"/>
      <c r="AD278" s="30"/>
      <c r="AE278" s="30"/>
      <c r="AF278" s="30"/>
      <c r="AG278" s="30"/>
      <c r="AH278" s="30"/>
      <c r="AI278" s="30"/>
      <c r="AJ278" s="208"/>
      <c r="AL278" s="30"/>
      <c r="AM278" s="214"/>
      <c r="AR278" s="217"/>
    </row>
    <row r="279" spans="1:44">
      <c r="B279" t="s">
        <v>749</v>
      </c>
    </row>
    <row r="280" spans="1:44">
      <c r="A280" t="s">
        <v>749</v>
      </c>
      <c r="B280" t="s">
        <v>574</v>
      </c>
      <c r="C280" t="s">
        <v>462</v>
      </c>
      <c r="D280">
        <v>10</v>
      </c>
      <c r="E280">
        <v>100000</v>
      </c>
      <c r="F280">
        <v>0</v>
      </c>
      <c r="G280">
        <v>646</v>
      </c>
      <c r="H280">
        <v>0.46</v>
      </c>
      <c r="K280" s="204" t="s">
        <v>297</v>
      </c>
      <c r="L280" s="204" t="s">
        <v>442</v>
      </c>
      <c r="M280" s="208">
        <v>567</v>
      </c>
      <c r="N280" s="208"/>
      <c r="O280" s="208">
        <v>2013</v>
      </c>
      <c r="Q280" s="208" t="s">
        <v>337</v>
      </c>
      <c r="R280" s="208" t="s">
        <v>180</v>
      </c>
      <c r="S280" s="208" t="s">
        <v>353</v>
      </c>
      <c r="T280" s="208" t="s">
        <v>179</v>
      </c>
      <c r="U280" s="208" t="s">
        <v>344</v>
      </c>
      <c r="V280" s="208" t="s">
        <v>713</v>
      </c>
      <c r="W280" s="208" t="s">
        <v>356</v>
      </c>
      <c r="X280" s="208"/>
      <c r="Y280" s="208"/>
      <c r="AA280" s="208">
        <v>1</v>
      </c>
      <c r="AB280" s="208">
        <v>1.2</v>
      </c>
      <c r="AC280" s="208">
        <v>2</v>
      </c>
      <c r="AD280" s="208">
        <v>2.5</v>
      </c>
      <c r="AE280" s="208">
        <v>2.7</v>
      </c>
      <c r="AF280" s="208">
        <v>3</v>
      </c>
      <c r="AG280" s="208">
        <v>6</v>
      </c>
      <c r="AK280" s="29" t="s">
        <v>162</v>
      </c>
      <c r="AL280" s="31">
        <v>1</v>
      </c>
      <c r="AM280" s="30">
        <v>0</v>
      </c>
      <c r="AN280" t="s">
        <v>579</v>
      </c>
    </row>
    <row r="281" spans="1:44">
      <c r="A281" s="295" t="s">
        <v>749</v>
      </c>
      <c r="B281" t="s">
        <v>575</v>
      </c>
      <c r="C281" t="s">
        <v>578</v>
      </c>
      <c r="D281">
        <v>120</v>
      </c>
      <c r="E281">
        <v>500</v>
      </c>
      <c r="F281">
        <v>0</v>
      </c>
      <c r="G281">
        <v>813</v>
      </c>
      <c r="H281">
        <v>0.38</v>
      </c>
      <c r="K281" s="204" t="s">
        <v>297</v>
      </c>
      <c r="L281" s="204" t="s">
        <v>442</v>
      </c>
      <c r="M281" s="208">
        <v>567</v>
      </c>
      <c r="N281" s="208"/>
      <c r="O281" s="208">
        <v>2013</v>
      </c>
      <c r="Q281" s="208" t="s">
        <v>337</v>
      </c>
      <c r="R281" s="208" t="s">
        <v>180</v>
      </c>
      <c r="S281" s="208" t="s">
        <v>353</v>
      </c>
      <c r="T281" s="208" t="s">
        <v>179</v>
      </c>
      <c r="U281" s="208" t="s">
        <v>344</v>
      </c>
      <c r="V281" s="208" t="s">
        <v>713</v>
      </c>
      <c r="W281" s="208" t="s">
        <v>356</v>
      </c>
      <c r="X281" s="208"/>
      <c r="Y281" s="208"/>
      <c r="AA281" s="208">
        <v>1</v>
      </c>
      <c r="AB281" s="208">
        <v>1.2</v>
      </c>
      <c r="AC281" s="208">
        <v>2</v>
      </c>
      <c r="AD281" s="208">
        <v>2.5</v>
      </c>
      <c r="AE281" s="208">
        <v>2.7</v>
      </c>
      <c r="AF281" s="208">
        <v>3</v>
      </c>
      <c r="AG281" s="208">
        <v>6</v>
      </c>
      <c r="AK281" s="208">
        <v>1.74</v>
      </c>
      <c r="AL281" s="31">
        <v>1.72</v>
      </c>
      <c r="AM281" s="30">
        <v>0.1</v>
      </c>
      <c r="AN281" t="s">
        <v>580</v>
      </c>
    </row>
    <row r="282" spans="1:44">
      <c r="A282" s="295" t="s">
        <v>749</v>
      </c>
      <c r="B282" t="s">
        <v>576</v>
      </c>
      <c r="C282" s="204" t="s">
        <v>578</v>
      </c>
      <c r="D282">
        <v>400</v>
      </c>
      <c r="E282">
        <v>10000</v>
      </c>
      <c r="F282">
        <v>0</v>
      </c>
      <c r="G282" s="204">
        <v>1094</v>
      </c>
      <c r="H282" s="204">
        <v>0.22</v>
      </c>
      <c r="K282" s="204" t="s">
        <v>297</v>
      </c>
      <c r="L282" s="204" t="s">
        <v>442</v>
      </c>
      <c r="M282" s="208">
        <v>567</v>
      </c>
      <c r="N282" s="208"/>
      <c r="O282" s="208">
        <v>2013</v>
      </c>
      <c r="Q282" s="208" t="s">
        <v>337</v>
      </c>
      <c r="R282" s="208" t="s">
        <v>180</v>
      </c>
      <c r="S282" s="208" t="s">
        <v>353</v>
      </c>
      <c r="T282" s="208" t="s">
        <v>179</v>
      </c>
      <c r="U282" s="208" t="s">
        <v>344</v>
      </c>
      <c r="V282" s="208" t="s">
        <v>713</v>
      </c>
      <c r="W282" s="208" t="s">
        <v>356</v>
      </c>
      <c r="X282" s="208"/>
      <c r="Y282" s="208"/>
      <c r="AA282" s="208">
        <v>1</v>
      </c>
      <c r="AB282" s="208">
        <v>1.2</v>
      </c>
      <c r="AC282" s="208">
        <v>2</v>
      </c>
      <c r="AD282" s="208">
        <v>2.5</v>
      </c>
      <c r="AE282" s="208">
        <v>2.7</v>
      </c>
      <c r="AF282" s="208">
        <v>3</v>
      </c>
      <c r="AG282" s="208">
        <v>6</v>
      </c>
      <c r="AK282" s="208">
        <v>1.74</v>
      </c>
      <c r="AL282" s="31">
        <v>1.72</v>
      </c>
      <c r="AM282" s="30">
        <v>0.1</v>
      </c>
      <c r="AN282" s="204" t="s">
        <v>580</v>
      </c>
    </row>
    <row r="283" spans="1:44">
      <c r="A283" s="295" t="s">
        <v>749</v>
      </c>
      <c r="B283" t="s">
        <v>577</v>
      </c>
      <c r="C283" s="204" t="s">
        <v>578</v>
      </c>
      <c r="D283">
        <v>40</v>
      </c>
      <c r="E283">
        <v>900</v>
      </c>
      <c r="F283">
        <v>0</v>
      </c>
      <c r="G283">
        <v>46.6</v>
      </c>
      <c r="H283">
        <v>0.9</v>
      </c>
      <c r="K283" s="204" t="s">
        <v>297</v>
      </c>
      <c r="L283" s="204" t="s">
        <v>442</v>
      </c>
      <c r="M283" s="208">
        <v>567</v>
      </c>
      <c r="N283" s="208"/>
      <c r="O283" s="208">
        <v>2013</v>
      </c>
      <c r="Q283" s="208" t="s">
        <v>337</v>
      </c>
      <c r="R283" s="208" t="s">
        <v>180</v>
      </c>
      <c r="S283" s="208" t="s">
        <v>353</v>
      </c>
      <c r="T283" s="208" t="s">
        <v>179</v>
      </c>
      <c r="U283" s="208" t="s">
        <v>344</v>
      </c>
      <c r="V283" s="208" t="s">
        <v>713</v>
      </c>
      <c r="W283" s="208" t="s">
        <v>356</v>
      </c>
      <c r="X283" s="208"/>
      <c r="Y283" s="208"/>
      <c r="AA283" s="208">
        <v>1</v>
      </c>
      <c r="AB283" s="208">
        <v>1.2</v>
      </c>
      <c r="AC283" s="208">
        <v>2</v>
      </c>
      <c r="AD283" s="208">
        <v>2.5</v>
      </c>
      <c r="AE283" s="208">
        <v>2.7</v>
      </c>
      <c r="AF283" s="208">
        <v>3</v>
      </c>
      <c r="AG283" s="208">
        <v>6</v>
      </c>
      <c r="AK283" s="208">
        <v>1.74</v>
      </c>
      <c r="AL283" s="31">
        <v>1.72</v>
      </c>
      <c r="AM283" s="30">
        <v>0.1</v>
      </c>
      <c r="AN283" t="s">
        <v>581</v>
      </c>
    </row>
    <row r="284" spans="1:44">
      <c r="A284" s="295" t="s">
        <v>749</v>
      </c>
      <c r="B284" t="s">
        <v>653</v>
      </c>
      <c r="C284" t="s">
        <v>649</v>
      </c>
      <c r="D284" s="208">
        <v>70</v>
      </c>
      <c r="E284" s="208">
        <v>18000</v>
      </c>
      <c r="F284">
        <v>0</v>
      </c>
      <c r="G284" s="208">
        <v>24.4</v>
      </c>
      <c r="H284" s="208">
        <v>1</v>
      </c>
      <c r="K284" s="208" t="s">
        <v>297</v>
      </c>
      <c r="L284" s="204" t="s">
        <v>442</v>
      </c>
      <c r="M284" s="208">
        <v>567</v>
      </c>
      <c r="N284" s="208"/>
      <c r="O284" s="208">
        <v>2013</v>
      </c>
      <c r="Q284" s="208" t="s">
        <v>337</v>
      </c>
      <c r="R284" s="208" t="s">
        <v>180</v>
      </c>
      <c r="S284" s="208" t="s">
        <v>353</v>
      </c>
      <c r="T284" s="208" t="s">
        <v>179</v>
      </c>
      <c r="U284" s="208" t="s">
        <v>344</v>
      </c>
      <c r="V284" s="208" t="s">
        <v>713</v>
      </c>
      <c r="W284" s="208" t="s">
        <v>356</v>
      </c>
      <c r="X284" s="208"/>
      <c r="Y284" s="208"/>
      <c r="AA284" s="208">
        <v>1</v>
      </c>
      <c r="AB284" s="208">
        <v>1.2</v>
      </c>
      <c r="AC284" s="208">
        <v>2</v>
      </c>
      <c r="AD284" s="208">
        <v>2.5</v>
      </c>
      <c r="AE284" s="208">
        <v>2.7</v>
      </c>
      <c r="AF284" s="208">
        <v>3</v>
      </c>
      <c r="AG284" s="208">
        <v>6</v>
      </c>
      <c r="AK284" s="208">
        <v>1.61</v>
      </c>
      <c r="AL284" s="31">
        <v>1.72</v>
      </c>
      <c r="AM284" s="30">
        <v>0.1</v>
      </c>
      <c r="AN284" t="s">
        <v>725</v>
      </c>
    </row>
    <row r="285" spans="1:44">
      <c r="A285" s="295" t="s">
        <v>749</v>
      </c>
      <c r="B285" t="s">
        <v>654</v>
      </c>
      <c r="C285" t="s">
        <v>652</v>
      </c>
      <c r="D285" s="211">
        <v>15.507562955910631</v>
      </c>
      <c r="E285" s="211">
        <v>578.8040162167373</v>
      </c>
      <c r="F285" s="208">
        <v>0</v>
      </c>
      <c r="G285" s="208">
        <v>80</v>
      </c>
      <c r="H285" s="208">
        <v>1</v>
      </c>
      <c r="I285" s="208"/>
      <c r="J285" s="208"/>
      <c r="K285" s="208" t="s">
        <v>297</v>
      </c>
      <c r="L285" s="204" t="s">
        <v>442</v>
      </c>
      <c r="M285" s="208">
        <v>567</v>
      </c>
      <c r="N285" s="208"/>
      <c r="O285" s="208">
        <v>2013</v>
      </c>
      <c r="P285" s="208"/>
      <c r="Q285" s="208" t="s">
        <v>337</v>
      </c>
      <c r="R285" s="208" t="s">
        <v>180</v>
      </c>
      <c r="S285" s="208" t="s">
        <v>353</v>
      </c>
      <c r="T285" s="208" t="s">
        <v>179</v>
      </c>
      <c r="U285" s="208" t="s">
        <v>344</v>
      </c>
      <c r="V285" s="208" t="s">
        <v>713</v>
      </c>
      <c r="W285" s="208" t="s">
        <v>356</v>
      </c>
      <c r="X285" s="208"/>
      <c r="Y285" s="208"/>
      <c r="AA285" s="208">
        <v>1</v>
      </c>
      <c r="AB285" s="208">
        <v>1.2</v>
      </c>
      <c r="AC285" s="208">
        <v>2</v>
      </c>
      <c r="AD285" s="208">
        <v>2.5</v>
      </c>
      <c r="AE285" s="208">
        <v>2.7</v>
      </c>
      <c r="AF285" s="208">
        <v>3</v>
      </c>
      <c r="AG285" s="208">
        <v>6</v>
      </c>
      <c r="AK285" s="208">
        <v>1.61</v>
      </c>
      <c r="AL285" s="31">
        <v>1.72</v>
      </c>
      <c r="AM285" s="30">
        <v>0.1</v>
      </c>
      <c r="AN285" t="s">
        <v>726</v>
      </c>
    </row>
    <row r="286" spans="1:44">
      <c r="A286" s="295" t="s">
        <v>749</v>
      </c>
      <c r="B286" t="s">
        <v>655</v>
      </c>
      <c r="C286" s="204" t="s">
        <v>651</v>
      </c>
      <c r="D286" s="211">
        <v>139.89734507168316</v>
      </c>
      <c r="E286" s="211">
        <v>40579.108422318401</v>
      </c>
      <c r="F286" s="208">
        <v>0</v>
      </c>
      <c r="G286" s="208">
        <v>92.5</v>
      </c>
      <c r="H286" s="208">
        <v>0.56999999999999995</v>
      </c>
      <c r="I286" s="208"/>
      <c r="J286" s="208"/>
      <c r="K286" s="208" t="s">
        <v>297</v>
      </c>
      <c r="L286" s="204" t="s">
        <v>442</v>
      </c>
      <c r="M286" s="208">
        <v>567</v>
      </c>
      <c r="N286" s="208"/>
      <c r="O286" s="208">
        <v>2013</v>
      </c>
      <c r="P286" s="208"/>
      <c r="Q286" s="208" t="s">
        <v>337</v>
      </c>
      <c r="R286" s="208" t="s">
        <v>180</v>
      </c>
      <c r="S286" s="208" t="s">
        <v>353</v>
      </c>
      <c r="T286" s="208" t="s">
        <v>179</v>
      </c>
      <c r="U286" s="208" t="s">
        <v>344</v>
      </c>
      <c r="V286" s="208" t="s">
        <v>713</v>
      </c>
      <c r="W286" s="208" t="s">
        <v>356</v>
      </c>
      <c r="X286" s="208"/>
      <c r="Y286" s="208"/>
      <c r="AA286" s="208">
        <v>1</v>
      </c>
      <c r="AB286" s="208">
        <v>1.2</v>
      </c>
      <c r="AC286" s="208">
        <v>2</v>
      </c>
      <c r="AD286" s="208">
        <v>2.5</v>
      </c>
      <c r="AE286" s="208">
        <v>2.7</v>
      </c>
      <c r="AF286" s="208">
        <v>3</v>
      </c>
      <c r="AG286" s="208">
        <v>6</v>
      </c>
      <c r="AK286" s="208">
        <v>1.61</v>
      </c>
      <c r="AL286" s="31">
        <v>1.72</v>
      </c>
      <c r="AM286" s="30">
        <v>0.1</v>
      </c>
      <c r="AN286" t="s">
        <v>582</v>
      </c>
    </row>
    <row r="287" spans="1:44">
      <c r="A287" s="295" t="s">
        <v>749</v>
      </c>
      <c r="B287" t="s">
        <v>656</v>
      </c>
      <c r="C287" t="s">
        <v>650</v>
      </c>
      <c r="D287" s="211">
        <v>131.49077518655685</v>
      </c>
      <c r="E287" s="211">
        <v>6050.2599002652823</v>
      </c>
      <c r="F287" s="208">
        <v>0</v>
      </c>
      <c r="G287" s="208">
        <v>692</v>
      </c>
      <c r="H287" s="208">
        <v>0.5</v>
      </c>
      <c r="I287" s="208"/>
      <c r="J287" s="208"/>
      <c r="K287" s="208" t="s">
        <v>297</v>
      </c>
      <c r="L287" s="204" t="s">
        <v>442</v>
      </c>
      <c r="M287" s="208">
        <v>567</v>
      </c>
      <c r="N287" s="208"/>
      <c r="O287" s="208">
        <v>2013</v>
      </c>
      <c r="P287" s="208"/>
      <c r="Q287" s="208" t="s">
        <v>337</v>
      </c>
      <c r="R287" s="208" t="s">
        <v>180</v>
      </c>
      <c r="S287" s="208" t="s">
        <v>353</v>
      </c>
      <c r="T287" s="208" t="s">
        <v>179</v>
      </c>
      <c r="U287" s="208" t="s">
        <v>344</v>
      </c>
      <c r="V287" s="208" t="s">
        <v>713</v>
      </c>
      <c r="W287" s="208" t="s">
        <v>356</v>
      </c>
      <c r="X287" s="208"/>
      <c r="Y287" s="208"/>
      <c r="AA287" s="208">
        <v>1</v>
      </c>
      <c r="AB287" s="208">
        <v>1.2</v>
      </c>
      <c r="AC287" s="208">
        <v>2</v>
      </c>
      <c r="AD287" s="208">
        <v>2.5</v>
      </c>
      <c r="AE287" s="208">
        <v>2.7</v>
      </c>
      <c r="AF287" s="208">
        <v>3</v>
      </c>
      <c r="AG287" s="208">
        <v>6</v>
      </c>
      <c r="AK287" s="208">
        <v>1.74</v>
      </c>
      <c r="AL287" s="31">
        <v>1.72</v>
      </c>
      <c r="AM287" s="30">
        <v>0.1</v>
      </c>
      <c r="AN287" t="s">
        <v>727</v>
      </c>
    </row>
    <row r="288" spans="1:44">
      <c r="A288" s="295" t="s">
        <v>749</v>
      </c>
      <c r="B288" t="s">
        <v>657</v>
      </c>
      <c r="C288" t="s">
        <v>658</v>
      </c>
      <c r="D288" s="211">
        <v>8.8179715330664479</v>
      </c>
      <c r="E288" s="211">
        <v>227.92669916320972</v>
      </c>
      <c r="F288" s="208">
        <v>0</v>
      </c>
      <c r="G288" s="208">
        <v>17240</v>
      </c>
      <c r="H288" s="208">
        <v>0.63</v>
      </c>
      <c r="I288" s="208"/>
      <c r="J288" s="208"/>
      <c r="K288" s="208" t="s">
        <v>297</v>
      </c>
      <c r="L288" s="204" t="s">
        <v>442</v>
      </c>
      <c r="M288" s="208">
        <v>567</v>
      </c>
      <c r="N288" s="208"/>
      <c r="O288" s="208">
        <v>2013</v>
      </c>
      <c r="P288" s="208"/>
      <c r="Q288" s="208" t="s">
        <v>337</v>
      </c>
      <c r="R288" s="208" t="s">
        <v>180</v>
      </c>
      <c r="S288" s="208" t="s">
        <v>353</v>
      </c>
      <c r="T288" s="208" t="s">
        <v>179</v>
      </c>
      <c r="U288" s="208" t="s">
        <v>344</v>
      </c>
      <c r="V288" s="208" t="s">
        <v>713</v>
      </c>
      <c r="W288" s="208" t="s">
        <v>356</v>
      </c>
      <c r="X288" s="208"/>
      <c r="Y288" s="208"/>
      <c r="AA288" s="208">
        <v>1</v>
      </c>
      <c r="AB288" s="208">
        <v>1.2</v>
      </c>
      <c r="AC288" s="208">
        <v>2</v>
      </c>
      <c r="AD288" s="208">
        <v>2.5</v>
      </c>
      <c r="AE288" s="208">
        <v>2.7</v>
      </c>
      <c r="AF288" s="208">
        <v>3</v>
      </c>
      <c r="AG288" s="208">
        <v>6</v>
      </c>
      <c r="AK288" s="208">
        <v>1.74</v>
      </c>
      <c r="AL288" s="31">
        <v>1.72</v>
      </c>
      <c r="AM288" s="30">
        <v>0.1</v>
      </c>
      <c r="AN288" t="s">
        <v>728</v>
      </c>
    </row>
    <row r="289" spans="1:44">
      <c r="Q289" s="208"/>
      <c r="R289" s="208"/>
      <c r="S289" s="208"/>
      <c r="T289" s="208"/>
      <c r="U289" s="208"/>
      <c r="V289" s="208"/>
      <c r="W289" s="208"/>
      <c r="X289" s="208"/>
      <c r="Y289" s="208"/>
      <c r="AA289" s="208"/>
      <c r="AB289" s="208"/>
      <c r="AC289" s="208"/>
      <c r="AD289" s="208"/>
      <c r="AE289" s="208"/>
      <c r="AF289" s="208"/>
      <c r="AG289" s="208"/>
    </row>
    <row r="290" spans="1:44" s="29" customFormat="1">
      <c r="B290" s="29" t="s">
        <v>750</v>
      </c>
      <c r="I290" s="207"/>
      <c r="J290" s="207"/>
      <c r="R290" s="30"/>
      <c r="S290" s="30"/>
      <c r="T290" s="30"/>
      <c r="U290" s="30"/>
      <c r="V290" s="30"/>
      <c r="W290" s="30"/>
      <c r="X290" s="30"/>
      <c r="Y290" s="30"/>
      <c r="Z290" s="208"/>
      <c r="AA290" s="30"/>
      <c r="AB290" s="30"/>
      <c r="AC290" s="30"/>
      <c r="AD290" s="30"/>
      <c r="AE290" s="30"/>
      <c r="AF290" s="30"/>
      <c r="AG290" s="30"/>
      <c r="AH290" s="30"/>
      <c r="AI290" s="30"/>
      <c r="AJ290" s="208"/>
      <c r="AL290" s="30"/>
      <c r="AM290" s="30"/>
      <c r="AR290" s="217"/>
    </row>
    <row r="291" spans="1:44" s="29" customFormat="1">
      <c r="A291" s="29" t="s">
        <v>750</v>
      </c>
      <c r="B291" s="29" t="s">
        <v>238</v>
      </c>
      <c r="C291" s="29" t="s">
        <v>239</v>
      </c>
      <c r="D291" s="29">
        <v>10</v>
      </c>
      <c r="E291" s="29">
        <v>500</v>
      </c>
      <c r="F291" s="29">
        <v>41000</v>
      </c>
      <c r="G291" s="29">
        <v>730</v>
      </c>
      <c r="H291" s="29">
        <v>1</v>
      </c>
      <c r="I291" s="207"/>
      <c r="J291" s="207"/>
      <c r="K291" s="29" t="s">
        <v>297</v>
      </c>
      <c r="L291" s="200" t="s">
        <v>443</v>
      </c>
      <c r="M291" s="29">
        <v>532.9</v>
      </c>
      <c r="N291" s="29">
        <v>2281.6</v>
      </c>
      <c r="O291" s="29">
        <v>2010</v>
      </c>
      <c r="Q291" s="31" t="s">
        <v>337</v>
      </c>
      <c r="R291" s="31" t="s">
        <v>338</v>
      </c>
      <c r="S291" s="31" t="s">
        <v>339</v>
      </c>
      <c r="T291" s="31" t="s">
        <v>340</v>
      </c>
      <c r="U291" s="31" t="s">
        <v>341</v>
      </c>
      <c r="V291" s="31" t="s">
        <v>342</v>
      </c>
      <c r="W291" s="31" t="s">
        <v>343</v>
      </c>
      <c r="X291" s="31" t="s">
        <v>344</v>
      </c>
      <c r="Y291" s="31" t="s">
        <v>345</v>
      </c>
      <c r="Z291" s="31"/>
      <c r="AA291" s="31">
        <v>1</v>
      </c>
      <c r="AB291" s="31">
        <v>1.07</v>
      </c>
      <c r="AC291" s="31">
        <v>1.1000000000000001</v>
      </c>
      <c r="AD291" s="31">
        <v>1.3</v>
      </c>
      <c r="AE291" s="31">
        <v>1.3</v>
      </c>
      <c r="AF291" s="31">
        <v>1.5</v>
      </c>
      <c r="AG291" s="31">
        <v>1.55</v>
      </c>
      <c r="AH291" s="31">
        <v>1.65</v>
      </c>
      <c r="AI291" s="31">
        <v>1.7</v>
      </c>
      <c r="AJ291" s="31"/>
      <c r="AK291" s="31">
        <v>1.61</v>
      </c>
      <c r="AL291" s="31">
        <v>1.72</v>
      </c>
      <c r="AM291" s="214">
        <v>0.1</v>
      </c>
      <c r="AR291" s="217"/>
    </row>
    <row r="292" spans="1:44" s="29" customFormat="1">
      <c r="A292" s="295" t="s">
        <v>750</v>
      </c>
      <c r="B292" s="29" t="s">
        <v>240</v>
      </c>
      <c r="C292" s="29" t="s">
        <v>239</v>
      </c>
      <c r="D292" s="29">
        <v>10</v>
      </c>
      <c r="E292" s="29">
        <v>500</v>
      </c>
      <c r="F292" s="29">
        <v>46000</v>
      </c>
      <c r="G292" s="29">
        <v>1320</v>
      </c>
      <c r="H292" s="29">
        <v>1</v>
      </c>
      <c r="I292" s="207"/>
      <c r="J292" s="207"/>
      <c r="K292" s="29" t="s">
        <v>297</v>
      </c>
      <c r="L292" s="200" t="s">
        <v>443</v>
      </c>
      <c r="M292" s="29">
        <v>532.9</v>
      </c>
      <c r="N292" s="29">
        <v>2281.6</v>
      </c>
      <c r="O292" s="29">
        <v>2010</v>
      </c>
      <c r="Q292" s="31" t="s">
        <v>337</v>
      </c>
      <c r="R292" s="31" t="s">
        <v>338</v>
      </c>
      <c r="S292" s="31" t="s">
        <v>339</v>
      </c>
      <c r="T292" s="31" t="s">
        <v>340</v>
      </c>
      <c r="U292" s="31" t="s">
        <v>341</v>
      </c>
      <c r="V292" s="31" t="s">
        <v>342</v>
      </c>
      <c r="W292" s="31" t="s">
        <v>343</v>
      </c>
      <c r="X292" s="31" t="s">
        <v>344</v>
      </c>
      <c r="Y292" s="31" t="s">
        <v>345</v>
      </c>
      <c r="Z292" s="31"/>
      <c r="AA292" s="31">
        <v>1</v>
      </c>
      <c r="AB292" s="31">
        <v>1.07</v>
      </c>
      <c r="AC292" s="31">
        <v>1.1000000000000001</v>
      </c>
      <c r="AD292" s="31">
        <v>1.3</v>
      </c>
      <c r="AE292" s="31">
        <v>1.3</v>
      </c>
      <c r="AF292" s="31">
        <v>1.5</v>
      </c>
      <c r="AG292" s="31">
        <v>1.55</v>
      </c>
      <c r="AH292" s="31">
        <v>1.65</v>
      </c>
      <c r="AI292" s="31">
        <v>1.7</v>
      </c>
      <c r="AJ292" s="31"/>
      <c r="AK292" s="31">
        <v>1.61</v>
      </c>
      <c r="AL292" s="31">
        <v>1.72</v>
      </c>
      <c r="AM292" s="214">
        <v>0.1</v>
      </c>
      <c r="AR292" s="217"/>
    </row>
    <row r="293" spans="1:44" s="29" customFormat="1">
      <c r="A293" s="295" t="s">
        <v>750</v>
      </c>
      <c r="B293" s="29" t="s">
        <v>241</v>
      </c>
      <c r="C293" s="29" t="s">
        <v>239</v>
      </c>
      <c r="D293" s="29">
        <v>10</v>
      </c>
      <c r="E293" s="29">
        <v>30</v>
      </c>
      <c r="F293" s="29">
        <v>17000</v>
      </c>
      <c r="G293" s="29">
        <v>2600</v>
      </c>
      <c r="H293" s="29">
        <v>1</v>
      </c>
      <c r="I293" s="207"/>
      <c r="J293" s="207"/>
      <c r="K293" s="29" t="s">
        <v>297</v>
      </c>
      <c r="L293" s="200" t="s">
        <v>443</v>
      </c>
      <c r="M293" s="29">
        <v>532.9</v>
      </c>
      <c r="N293" s="29">
        <v>2281.6</v>
      </c>
      <c r="O293" s="29">
        <v>2010</v>
      </c>
      <c r="Q293" s="31" t="s">
        <v>337</v>
      </c>
      <c r="R293" s="31" t="s">
        <v>338</v>
      </c>
      <c r="S293" s="31" t="s">
        <v>339</v>
      </c>
      <c r="T293" s="31" t="s">
        <v>340</v>
      </c>
      <c r="U293" s="31" t="s">
        <v>341</v>
      </c>
      <c r="V293" s="31" t="s">
        <v>342</v>
      </c>
      <c r="W293" s="31" t="s">
        <v>343</v>
      </c>
      <c r="X293" s="31" t="s">
        <v>344</v>
      </c>
      <c r="Y293" s="31" t="s">
        <v>345</v>
      </c>
      <c r="Z293" s="31"/>
      <c r="AA293" s="31">
        <v>1</v>
      </c>
      <c r="AB293" s="31">
        <v>1.07</v>
      </c>
      <c r="AC293" s="31">
        <v>1.1000000000000001</v>
      </c>
      <c r="AD293" s="31">
        <v>1.3</v>
      </c>
      <c r="AE293" s="31">
        <v>1.3</v>
      </c>
      <c r="AF293" s="31">
        <v>1.5</v>
      </c>
      <c r="AG293" s="31">
        <v>1.55</v>
      </c>
      <c r="AH293" s="31">
        <v>1.65</v>
      </c>
      <c r="AI293" s="31">
        <v>1.7</v>
      </c>
      <c r="AJ293" s="31"/>
      <c r="AK293" s="31">
        <v>1.74</v>
      </c>
      <c r="AL293" s="31">
        <v>1.72</v>
      </c>
      <c r="AM293" s="214">
        <v>0.1</v>
      </c>
      <c r="AR293" s="217"/>
    </row>
    <row r="294" spans="1:44" s="29" customFormat="1">
      <c r="I294" s="207"/>
      <c r="J294" s="207"/>
      <c r="L294" s="200"/>
      <c r="R294" s="30"/>
      <c r="S294" s="30"/>
      <c r="T294" s="30"/>
      <c r="U294" s="30"/>
      <c r="V294" s="30"/>
      <c r="W294" s="30"/>
      <c r="X294" s="30"/>
      <c r="Y294" s="30"/>
      <c r="Z294" s="208"/>
      <c r="AA294" s="30"/>
      <c r="AB294" s="30"/>
      <c r="AC294" s="30"/>
      <c r="AD294" s="30"/>
      <c r="AE294" s="30"/>
      <c r="AF294" s="30"/>
      <c r="AG294" s="30"/>
      <c r="AH294" s="30"/>
      <c r="AI294" s="30"/>
      <c r="AJ294" s="208"/>
      <c r="AL294" s="30"/>
      <c r="AM294" s="30"/>
      <c r="AR294" s="217"/>
    </row>
    <row r="295" spans="1:44">
      <c r="B295" t="s">
        <v>293</v>
      </c>
      <c r="Q295" s="208"/>
      <c r="R295" s="208"/>
      <c r="S295" s="208"/>
      <c r="T295" s="208"/>
      <c r="U295" s="208"/>
      <c r="V295" s="208"/>
      <c r="W295" s="208"/>
      <c r="X295" s="208"/>
      <c r="Y295" s="208"/>
      <c r="AA295" s="208"/>
      <c r="AB295" s="208"/>
      <c r="AC295" s="208"/>
      <c r="AD295" s="208"/>
      <c r="AE295" s="208"/>
      <c r="AF295" s="208"/>
      <c r="AG295" s="208"/>
    </row>
    <row r="296" spans="1:44">
      <c r="A296" t="s">
        <v>293</v>
      </c>
      <c r="B296" t="s">
        <v>583</v>
      </c>
      <c r="C296" t="s">
        <v>587</v>
      </c>
      <c r="D296" s="204">
        <v>1000</v>
      </c>
      <c r="E296" s="204">
        <v>30000</v>
      </c>
      <c r="F296">
        <v>0</v>
      </c>
      <c r="G296">
        <v>18</v>
      </c>
      <c r="H296">
        <v>0.73</v>
      </c>
      <c r="K296" s="204" t="s">
        <v>297</v>
      </c>
      <c r="L296" s="204" t="s">
        <v>442</v>
      </c>
      <c r="M296" s="208">
        <v>567</v>
      </c>
      <c r="N296" s="208"/>
      <c r="O296" s="208">
        <v>2013</v>
      </c>
      <c r="P296" s="208" t="s">
        <v>588</v>
      </c>
      <c r="Q296" s="208" t="s">
        <v>588</v>
      </c>
      <c r="R296" s="208"/>
      <c r="S296" s="208"/>
      <c r="T296" s="208"/>
      <c r="U296" s="208"/>
      <c r="V296" s="208"/>
      <c r="W296" s="208"/>
      <c r="X296" s="208"/>
      <c r="Y296" s="208"/>
      <c r="AA296" s="208">
        <v>1</v>
      </c>
      <c r="AB296" s="208"/>
      <c r="AC296" s="208"/>
      <c r="AD296" s="208"/>
      <c r="AE296" s="208"/>
      <c r="AF296" s="208"/>
      <c r="AG296" s="208"/>
      <c r="AK296" s="208" t="s">
        <v>162</v>
      </c>
      <c r="AL296" s="31">
        <v>1.88</v>
      </c>
      <c r="AM296" s="30">
        <v>0</v>
      </c>
      <c r="AN296" t="s">
        <v>588</v>
      </c>
    </row>
    <row r="297" spans="1:44">
      <c r="A297" s="209" t="s">
        <v>293</v>
      </c>
      <c r="B297" t="s">
        <v>766</v>
      </c>
      <c r="C297" s="204" t="s">
        <v>587</v>
      </c>
      <c r="D297">
        <v>1000</v>
      </c>
      <c r="E297">
        <v>1000000</v>
      </c>
      <c r="F297">
        <v>0</v>
      </c>
      <c r="G297">
        <v>265</v>
      </c>
      <c r="H297">
        <v>0.51300000000000001</v>
      </c>
      <c r="K297" s="204" t="s">
        <v>297</v>
      </c>
      <c r="L297" s="204" t="s">
        <v>442</v>
      </c>
      <c r="M297" s="208">
        <v>567</v>
      </c>
      <c r="N297" s="208"/>
      <c r="O297" s="208">
        <v>2013</v>
      </c>
      <c r="Q297" s="208" t="s">
        <v>337</v>
      </c>
      <c r="R297" s="208" t="s">
        <v>180</v>
      </c>
      <c r="S297" s="208" t="s">
        <v>353</v>
      </c>
      <c r="T297" s="208" t="s">
        <v>179</v>
      </c>
      <c r="U297" s="208" t="s">
        <v>344</v>
      </c>
      <c r="V297" s="208" t="s">
        <v>713</v>
      </c>
      <c r="W297" s="208" t="s">
        <v>356</v>
      </c>
      <c r="X297" s="208"/>
      <c r="Y297" s="208"/>
      <c r="AA297" s="208">
        <v>1</v>
      </c>
      <c r="AB297" s="208">
        <v>1.2</v>
      </c>
      <c r="AC297" s="208">
        <v>2</v>
      </c>
      <c r="AD297" s="208">
        <v>2.5</v>
      </c>
      <c r="AE297" s="208">
        <v>2.7</v>
      </c>
      <c r="AF297" s="208">
        <v>3</v>
      </c>
      <c r="AG297" s="208">
        <v>6</v>
      </c>
      <c r="AK297" s="208" t="s">
        <v>162</v>
      </c>
      <c r="AL297" s="31">
        <v>1.88</v>
      </c>
      <c r="AM297" s="30">
        <v>0</v>
      </c>
      <c r="AN297" t="s">
        <v>589</v>
      </c>
    </row>
    <row r="298" spans="1:44">
      <c r="A298" s="209" t="s">
        <v>293</v>
      </c>
      <c r="B298" t="s">
        <v>767</v>
      </c>
      <c r="C298" s="204" t="s">
        <v>587</v>
      </c>
      <c r="D298">
        <v>30000</v>
      </c>
      <c r="E298">
        <v>1000000</v>
      </c>
      <c r="F298">
        <v>0</v>
      </c>
      <c r="G298">
        <v>475</v>
      </c>
      <c r="H298">
        <v>0.50700000000000001</v>
      </c>
      <c r="K298" s="204" t="s">
        <v>297</v>
      </c>
      <c r="L298" s="204" t="s">
        <v>442</v>
      </c>
      <c r="M298" s="208">
        <v>567</v>
      </c>
      <c r="N298" s="208"/>
      <c r="O298" s="208">
        <v>2013</v>
      </c>
      <c r="Q298" s="208" t="s">
        <v>337</v>
      </c>
      <c r="R298" s="208" t="s">
        <v>180</v>
      </c>
      <c r="S298" s="208" t="s">
        <v>353</v>
      </c>
      <c r="T298" s="208" t="s">
        <v>179</v>
      </c>
      <c r="U298" s="208" t="s">
        <v>344</v>
      </c>
      <c r="V298" s="208" t="s">
        <v>713</v>
      </c>
      <c r="W298" s="208" t="s">
        <v>356</v>
      </c>
      <c r="X298" s="208"/>
      <c r="Y298" s="208"/>
      <c r="AA298" s="208">
        <v>1</v>
      </c>
      <c r="AB298" s="208">
        <v>1.2</v>
      </c>
      <c r="AC298" s="208">
        <v>2</v>
      </c>
      <c r="AD298" s="208">
        <v>2.5</v>
      </c>
      <c r="AE298" s="208">
        <v>2.7</v>
      </c>
      <c r="AF298" s="208">
        <v>3</v>
      </c>
      <c r="AG298" s="208">
        <v>6</v>
      </c>
      <c r="AK298" s="208" t="s">
        <v>162</v>
      </c>
      <c r="AL298" s="31">
        <v>1.88</v>
      </c>
      <c r="AM298" s="30">
        <v>0</v>
      </c>
      <c r="AN298" s="204" t="s">
        <v>589</v>
      </c>
    </row>
    <row r="299" spans="1:44">
      <c r="A299" s="209" t="s">
        <v>293</v>
      </c>
      <c r="B299" t="s">
        <v>584</v>
      </c>
      <c r="C299" s="204" t="s">
        <v>587</v>
      </c>
      <c r="D299">
        <v>10000</v>
      </c>
      <c r="E299">
        <v>1000000</v>
      </c>
      <c r="F299">
        <v>0</v>
      </c>
      <c r="G299">
        <v>68</v>
      </c>
      <c r="H299">
        <v>0.72</v>
      </c>
      <c r="K299" s="204" t="s">
        <v>297</v>
      </c>
      <c r="L299" s="204" t="s">
        <v>442</v>
      </c>
      <c r="M299" s="208">
        <v>567</v>
      </c>
      <c r="N299" s="208"/>
      <c r="O299" s="208">
        <v>2013</v>
      </c>
      <c r="Q299" s="208" t="s">
        <v>337</v>
      </c>
      <c r="R299" s="208" t="s">
        <v>180</v>
      </c>
      <c r="S299" s="208" t="s">
        <v>353</v>
      </c>
      <c r="T299" s="208" t="s">
        <v>179</v>
      </c>
      <c r="U299" s="208" t="s">
        <v>344</v>
      </c>
      <c r="V299" s="208" t="s">
        <v>713</v>
      </c>
      <c r="W299" s="208" t="s">
        <v>356</v>
      </c>
      <c r="X299" s="208"/>
      <c r="Y299" s="208"/>
      <c r="AA299" s="208">
        <v>1</v>
      </c>
      <c r="AB299" s="208">
        <v>1.2</v>
      </c>
      <c r="AC299" s="208">
        <v>2</v>
      </c>
      <c r="AD299" s="208">
        <v>2.5</v>
      </c>
      <c r="AE299" s="208">
        <v>2.7</v>
      </c>
      <c r="AF299" s="208">
        <v>3</v>
      </c>
      <c r="AG299" s="208">
        <v>6</v>
      </c>
      <c r="AK299" s="208" t="s">
        <v>162</v>
      </c>
      <c r="AL299" s="31">
        <v>1.88</v>
      </c>
      <c r="AM299" s="30">
        <v>0</v>
      </c>
    </row>
    <row r="300" spans="1:44">
      <c r="A300" s="209" t="s">
        <v>293</v>
      </c>
      <c r="B300" t="s">
        <v>585</v>
      </c>
      <c r="C300" s="204" t="s">
        <v>587</v>
      </c>
      <c r="D300">
        <v>10000</v>
      </c>
      <c r="E300">
        <v>750000</v>
      </c>
      <c r="F300">
        <v>0</v>
      </c>
      <c r="G300">
        <v>53</v>
      </c>
      <c r="H300">
        <v>0.78</v>
      </c>
      <c r="K300" s="204" t="s">
        <v>297</v>
      </c>
      <c r="L300" s="204" t="s">
        <v>442</v>
      </c>
      <c r="M300" s="208">
        <v>567</v>
      </c>
      <c r="N300" s="208"/>
      <c r="O300" s="208">
        <v>2013</v>
      </c>
      <c r="Q300" s="208" t="s">
        <v>337</v>
      </c>
      <c r="R300" s="208" t="s">
        <v>180</v>
      </c>
      <c r="S300" s="208" t="s">
        <v>353</v>
      </c>
      <c r="T300" s="208" t="s">
        <v>179</v>
      </c>
      <c r="U300" s="208" t="s">
        <v>344</v>
      </c>
      <c r="V300" s="208" t="s">
        <v>713</v>
      </c>
      <c r="W300" s="208" t="s">
        <v>356</v>
      </c>
      <c r="X300" s="208"/>
      <c r="Y300" s="208"/>
      <c r="AA300" s="208">
        <v>1</v>
      </c>
      <c r="AB300" s="208">
        <v>1.2</v>
      </c>
      <c r="AC300" s="208">
        <v>2</v>
      </c>
      <c r="AD300" s="208">
        <v>2.5</v>
      </c>
      <c r="AE300" s="208">
        <v>2.7</v>
      </c>
      <c r="AF300" s="208">
        <v>3</v>
      </c>
      <c r="AG300" s="208">
        <v>6</v>
      </c>
      <c r="AK300" s="208" t="s">
        <v>162</v>
      </c>
      <c r="AL300" s="31">
        <v>1.88</v>
      </c>
      <c r="AM300" s="30">
        <v>0</v>
      </c>
      <c r="AN300" s="204"/>
    </row>
    <row r="301" spans="1:44">
      <c r="A301" s="209" t="s">
        <v>293</v>
      </c>
      <c r="B301" t="s">
        <v>586</v>
      </c>
      <c r="C301" t="s">
        <v>462</v>
      </c>
      <c r="D301">
        <v>4000</v>
      </c>
      <c r="E301">
        <v>400000</v>
      </c>
      <c r="F301">
        <v>0</v>
      </c>
      <c r="G301">
        <v>3595</v>
      </c>
      <c r="H301">
        <v>0.43</v>
      </c>
      <c r="K301" s="204" t="s">
        <v>297</v>
      </c>
      <c r="L301" s="204" t="s">
        <v>442</v>
      </c>
      <c r="M301" s="208">
        <v>567</v>
      </c>
      <c r="N301" s="208"/>
      <c r="O301" s="208">
        <v>2013</v>
      </c>
      <c r="Q301" s="208" t="s">
        <v>337</v>
      </c>
      <c r="R301" s="208" t="s">
        <v>180</v>
      </c>
      <c r="S301" s="208" t="s">
        <v>353</v>
      </c>
      <c r="T301" s="208" t="s">
        <v>179</v>
      </c>
      <c r="U301" s="208" t="s">
        <v>344</v>
      </c>
      <c r="V301" s="208" t="s">
        <v>713</v>
      </c>
      <c r="W301" s="208" t="s">
        <v>356</v>
      </c>
      <c r="X301" s="208"/>
      <c r="Y301" s="208"/>
      <c r="AA301" s="208">
        <v>1</v>
      </c>
      <c r="AB301" s="208">
        <v>1.2</v>
      </c>
      <c r="AC301" s="208">
        <v>2</v>
      </c>
      <c r="AD301" s="208">
        <v>2.5</v>
      </c>
      <c r="AE301" s="208">
        <v>2.7</v>
      </c>
      <c r="AF301" s="208">
        <v>3</v>
      </c>
      <c r="AG301" s="208">
        <v>6</v>
      </c>
      <c r="AK301" s="29" t="s">
        <v>162</v>
      </c>
      <c r="AL301" s="31">
        <v>1.88</v>
      </c>
      <c r="AM301" s="30">
        <v>0</v>
      </c>
      <c r="AN301" s="204" t="s">
        <v>589</v>
      </c>
    </row>
    <row r="302" spans="1:44" s="29" customFormat="1">
      <c r="A302" s="29" t="s">
        <v>293</v>
      </c>
      <c r="B302" s="29" t="s">
        <v>764</v>
      </c>
      <c r="C302" s="29" t="s">
        <v>256</v>
      </c>
      <c r="D302" s="29">
        <v>100</v>
      </c>
      <c r="E302" s="29">
        <v>10000</v>
      </c>
      <c r="F302" s="29">
        <v>113000</v>
      </c>
      <c r="G302" s="29">
        <v>3250</v>
      </c>
      <c r="H302" s="29">
        <v>0.65</v>
      </c>
      <c r="I302" s="207"/>
      <c r="J302" s="207"/>
      <c r="K302" s="29" t="s">
        <v>297</v>
      </c>
      <c r="L302" s="200" t="s">
        <v>443</v>
      </c>
      <c r="M302" s="29">
        <v>532.9</v>
      </c>
      <c r="N302" s="29">
        <v>2281.6</v>
      </c>
      <c r="O302" s="29">
        <v>2010</v>
      </c>
      <c r="Q302" s="31" t="s">
        <v>337</v>
      </c>
      <c r="R302" s="31" t="s">
        <v>338</v>
      </c>
      <c r="S302" s="31" t="s">
        <v>339</v>
      </c>
      <c r="T302" s="31" t="s">
        <v>340</v>
      </c>
      <c r="U302" s="31" t="s">
        <v>341</v>
      </c>
      <c r="V302" s="31" t="s">
        <v>342</v>
      </c>
      <c r="W302" s="31" t="s">
        <v>343</v>
      </c>
      <c r="X302" s="31" t="s">
        <v>344</v>
      </c>
      <c r="Y302" s="31" t="s">
        <v>345</v>
      </c>
      <c r="Z302" s="31"/>
      <c r="AA302" s="31">
        <v>1</v>
      </c>
      <c r="AB302" s="31">
        <v>1.07</v>
      </c>
      <c r="AC302" s="31">
        <v>1.1000000000000001</v>
      </c>
      <c r="AD302" s="31">
        <v>1.3</v>
      </c>
      <c r="AE302" s="31">
        <v>1.3</v>
      </c>
      <c r="AF302" s="31">
        <v>1.5</v>
      </c>
      <c r="AG302" s="31">
        <v>1.55</v>
      </c>
      <c r="AH302" s="31">
        <v>1.65</v>
      </c>
      <c r="AI302" s="31">
        <v>1.7</v>
      </c>
      <c r="AJ302" s="31"/>
      <c r="AK302" s="29" t="s">
        <v>162</v>
      </c>
      <c r="AL302" s="31">
        <v>1.88</v>
      </c>
      <c r="AM302" s="31">
        <v>0</v>
      </c>
      <c r="AR302" s="217"/>
    </row>
    <row r="303" spans="1:44" s="29" customFormat="1">
      <c r="A303" s="29" t="s">
        <v>293</v>
      </c>
      <c r="B303" s="29" t="s">
        <v>765</v>
      </c>
      <c r="C303" s="29" t="s">
        <v>256</v>
      </c>
      <c r="D303" s="29">
        <v>10</v>
      </c>
      <c r="E303" s="29">
        <v>4000</v>
      </c>
      <c r="F303" s="29">
        <v>5800</v>
      </c>
      <c r="G303" s="29">
        <v>1600</v>
      </c>
      <c r="H303" s="29">
        <v>0.7</v>
      </c>
      <c r="I303" s="207"/>
      <c r="J303" s="207"/>
      <c r="K303" s="29" t="s">
        <v>297</v>
      </c>
      <c r="L303" s="200" t="s">
        <v>443</v>
      </c>
      <c r="M303" s="29">
        <v>532.9</v>
      </c>
      <c r="N303" s="29">
        <v>2281.6</v>
      </c>
      <c r="O303" s="29">
        <v>2010</v>
      </c>
      <c r="Q303" s="31" t="s">
        <v>337</v>
      </c>
      <c r="R303" s="31" t="s">
        <v>338</v>
      </c>
      <c r="S303" s="31" t="s">
        <v>339</v>
      </c>
      <c r="T303" s="31" t="s">
        <v>340</v>
      </c>
      <c r="U303" s="31" t="s">
        <v>341</v>
      </c>
      <c r="V303" s="31" t="s">
        <v>342</v>
      </c>
      <c r="W303" s="31" t="s">
        <v>343</v>
      </c>
      <c r="X303" s="31" t="s">
        <v>344</v>
      </c>
      <c r="Y303" s="31" t="s">
        <v>345</v>
      </c>
      <c r="Z303" s="31"/>
      <c r="AA303" s="31">
        <v>1</v>
      </c>
      <c r="AB303" s="31">
        <v>1.07</v>
      </c>
      <c r="AC303" s="31">
        <v>1.1000000000000001</v>
      </c>
      <c r="AD303" s="31">
        <v>1.3</v>
      </c>
      <c r="AE303" s="31">
        <v>1.3</v>
      </c>
      <c r="AF303" s="31">
        <v>1.5</v>
      </c>
      <c r="AG303" s="31">
        <v>1.55</v>
      </c>
      <c r="AH303" s="31">
        <v>1.65</v>
      </c>
      <c r="AI303" s="31">
        <v>1.7</v>
      </c>
      <c r="AJ303" s="31"/>
      <c r="AK303" s="29" t="s">
        <v>162</v>
      </c>
      <c r="AL303" s="31">
        <v>1.88</v>
      </c>
      <c r="AM303" s="31">
        <v>0</v>
      </c>
      <c r="AR303" s="217"/>
    </row>
    <row r="304" spans="1:44" s="29" customFormat="1">
      <c r="I304" s="207"/>
      <c r="J304" s="207"/>
      <c r="L304" s="200"/>
      <c r="R304" s="30"/>
      <c r="S304" s="30"/>
      <c r="T304" s="30"/>
      <c r="U304" s="30"/>
      <c r="V304" s="30"/>
      <c r="W304" s="30"/>
      <c r="X304" s="30"/>
      <c r="Y304" s="30"/>
      <c r="Z304" s="208"/>
      <c r="AA304" s="30"/>
      <c r="AB304" s="30"/>
      <c r="AC304" s="30"/>
      <c r="AD304" s="30"/>
      <c r="AE304" s="30"/>
      <c r="AF304" s="30"/>
      <c r="AG304" s="30"/>
      <c r="AH304" s="30"/>
      <c r="AI304" s="30"/>
      <c r="AJ304" s="208"/>
      <c r="AL304" s="30"/>
      <c r="AM304" s="30"/>
      <c r="AR304" s="217"/>
    </row>
    <row r="305" spans="1:44" s="29" customFormat="1">
      <c r="B305" s="29" t="s">
        <v>316</v>
      </c>
      <c r="I305" s="207"/>
      <c r="J305" s="207"/>
      <c r="L305" s="200"/>
      <c r="R305" s="30"/>
      <c r="S305" s="30"/>
      <c r="T305" s="30"/>
      <c r="U305" s="30"/>
      <c r="V305" s="30"/>
      <c r="W305" s="30"/>
      <c r="X305" s="30"/>
      <c r="Y305" s="30"/>
      <c r="Z305" s="208"/>
      <c r="AA305" s="30"/>
      <c r="AB305" s="30"/>
      <c r="AC305" s="30"/>
      <c r="AD305" s="30"/>
      <c r="AE305" s="30"/>
      <c r="AF305" s="30"/>
      <c r="AG305" s="30"/>
      <c r="AH305" s="30"/>
      <c r="AI305" s="30"/>
      <c r="AJ305" s="208"/>
      <c r="AL305" s="30"/>
      <c r="AM305" s="30"/>
      <c r="AR305" s="217"/>
    </row>
    <row r="306" spans="1:44" s="29" customFormat="1">
      <c r="A306" s="1" t="s">
        <v>316</v>
      </c>
      <c r="B306" s="29" t="s">
        <v>285</v>
      </c>
      <c r="C306" s="29" t="s">
        <v>275</v>
      </c>
      <c r="D306" s="29">
        <v>100</v>
      </c>
      <c r="E306" s="29">
        <v>10000</v>
      </c>
      <c r="F306" s="29">
        <v>170000</v>
      </c>
      <c r="G306" s="29">
        <v>1500</v>
      </c>
      <c r="H306" s="29">
        <v>0.9</v>
      </c>
      <c r="I306" s="207"/>
      <c r="J306" s="207"/>
      <c r="K306" s="29" t="s">
        <v>297</v>
      </c>
      <c r="L306" s="200" t="s">
        <v>443</v>
      </c>
      <c r="M306" s="29">
        <v>532.9</v>
      </c>
      <c r="N306" s="29">
        <v>2281.6</v>
      </c>
      <c r="O306" s="29">
        <v>2010</v>
      </c>
      <c r="Q306" s="31" t="s">
        <v>337</v>
      </c>
      <c r="R306" s="31" t="s">
        <v>338</v>
      </c>
      <c r="S306" s="31" t="s">
        <v>339</v>
      </c>
      <c r="T306" s="31" t="s">
        <v>340</v>
      </c>
      <c r="U306" s="31" t="s">
        <v>341</v>
      </c>
      <c r="V306" s="31" t="s">
        <v>342</v>
      </c>
      <c r="W306" s="31" t="s">
        <v>343</v>
      </c>
      <c r="X306" s="31" t="s">
        <v>344</v>
      </c>
      <c r="Y306" s="31" t="s">
        <v>345</v>
      </c>
      <c r="Z306" s="31"/>
      <c r="AA306" s="31">
        <v>1</v>
      </c>
      <c r="AB306" s="31">
        <v>1.07</v>
      </c>
      <c r="AC306" s="31">
        <v>1.1000000000000001</v>
      </c>
      <c r="AD306" s="31">
        <v>1.3</v>
      </c>
      <c r="AE306" s="31">
        <v>1.3</v>
      </c>
      <c r="AF306" s="31">
        <v>1.5</v>
      </c>
      <c r="AG306" s="31">
        <v>1.55</v>
      </c>
      <c r="AH306" s="31">
        <v>1.65</v>
      </c>
      <c r="AI306" s="31">
        <v>1.7</v>
      </c>
      <c r="AJ306" s="31"/>
      <c r="AK306" s="29" t="s">
        <v>162</v>
      </c>
      <c r="AL306" s="31">
        <v>1.2</v>
      </c>
      <c r="AM306" s="30">
        <v>0.6</v>
      </c>
      <c r="AR306" s="217"/>
    </row>
    <row r="307" spans="1:44" s="29" customFormat="1">
      <c r="A307" s="1" t="s">
        <v>316</v>
      </c>
      <c r="B307" s="29" t="s">
        <v>286</v>
      </c>
      <c r="C307" s="29" t="s">
        <v>287</v>
      </c>
      <c r="D307" s="29">
        <v>50</v>
      </c>
      <c r="E307" s="29">
        <v>1500</v>
      </c>
      <c r="F307" s="29">
        <v>24000</v>
      </c>
      <c r="G307" s="29">
        <v>3500</v>
      </c>
      <c r="H307" s="29">
        <v>0.9</v>
      </c>
      <c r="I307" s="207"/>
      <c r="J307" s="207"/>
      <c r="K307" s="29" t="s">
        <v>297</v>
      </c>
      <c r="L307" s="200" t="s">
        <v>443</v>
      </c>
      <c r="M307" s="29">
        <v>532.9</v>
      </c>
      <c r="N307" s="29">
        <v>2281.6</v>
      </c>
      <c r="O307" s="29">
        <v>2010</v>
      </c>
      <c r="Q307" s="31" t="s">
        <v>337</v>
      </c>
      <c r="R307" s="31" t="s">
        <v>338</v>
      </c>
      <c r="S307" s="31" t="s">
        <v>339</v>
      </c>
      <c r="T307" s="31" t="s">
        <v>340</v>
      </c>
      <c r="U307" s="31" t="s">
        <v>341</v>
      </c>
      <c r="V307" s="31" t="s">
        <v>342</v>
      </c>
      <c r="W307" s="31" t="s">
        <v>343</v>
      </c>
      <c r="X307" s="31" t="s">
        <v>344</v>
      </c>
      <c r="Y307" s="31" t="s">
        <v>345</v>
      </c>
      <c r="Z307" s="31"/>
      <c r="AA307" s="31">
        <v>1</v>
      </c>
      <c r="AB307" s="31">
        <v>1.07</v>
      </c>
      <c r="AC307" s="31">
        <v>1.1000000000000001</v>
      </c>
      <c r="AD307" s="31">
        <v>1.3</v>
      </c>
      <c r="AE307" s="31">
        <v>1.3</v>
      </c>
      <c r="AF307" s="31">
        <v>1.5</v>
      </c>
      <c r="AG307" s="31">
        <v>1.55</v>
      </c>
      <c r="AH307" s="31">
        <v>1.65</v>
      </c>
      <c r="AI307" s="31">
        <v>1.7</v>
      </c>
      <c r="AJ307" s="31"/>
      <c r="AK307" s="29" t="s">
        <v>162</v>
      </c>
      <c r="AL307" s="31">
        <v>1.46</v>
      </c>
      <c r="AM307" s="30">
        <v>0.3</v>
      </c>
      <c r="AR307" s="217"/>
    </row>
    <row r="308" spans="1:44" s="29" customFormat="1">
      <c r="A308" s="1" t="s">
        <v>316</v>
      </c>
      <c r="B308" s="29" t="s">
        <v>288</v>
      </c>
      <c r="C308" s="29" t="s">
        <v>289</v>
      </c>
      <c r="D308" s="29">
        <v>1</v>
      </c>
      <c r="E308" s="29">
        <v>50</v>
      </c>
      <c r="F308" s="29">
        <v>14000</v>
      </c>
      <c r="G308" s="29">
        <v>6200</v>
      </c>
      <c r="H308" s="29">
        <v>0.75</v>
      </c>
      <c r="I308" s="207"/>
      <c r="J308" s="207"/>
      <c r="K308" s="29" t="s">
        <v>297</v>
      </c>
      <c r="L308" s="200" t="s">
        <v>443</v>
      </c>
      <c r="M308" s="29">
        <v>532.9</v>
      </c>
      <c r="N308" s="29">
        <v>2281.6</v>
      </c>
      <c r="O308" s="29">
        <v>2010</v>
      </c>
      <c r="Q308" s="31" t="s">
        <v>337</v>
      </c>
      <c r="R308" s="31" t="s">
        <v>338</v>
      </c>
      <c r="S308" s="31" t="s">
        <v>339</v>
      </c>
      <c r="T308" s="31" t="s">
        <v>340</v>
      </c>
      <c r="U308" s="31" t="s">
        <v>341</v>
      </c>
      <c r="V308" s="31" t="s">
        <v>342</v>
      </c>
      <c r="W308" s="31" t="s">
        <v>343</v>
      </c>
      <c r="X308" s="31" t="s">
        <v>344</v>
      </c>
      <c r="Y308" s="31" t="s">
        <v>345</v>
      </c>
      <c r="Z308" s="31"/>
      <c r="AA308" s="31">
        <v>1</v>
      </c>
      <c r="AB308" s="31">
        <v>1.07</v>
      </c>
      <c r="AC308" s="31">
        <v>1.1000000000000001</v>
      </c>
      <c r="AD308" s="31">
        <v>1.3</v>
      </c>
      <c r="AE308" s="31">
        <v>1.3</v>
      </c>
      <c r="AF308" s="31">
        <v>1.5</v>
      </c>
      <c r="AG308" s="31">
        <v>1.55</v>
      </c>
      <c r="AH308" s="31">
        <v>1.65</v>
      </c>
      <c r="AI308" s="31">
        <v>1.7</v>
      </c>
      <c r="AJ308" s="31"/>
      <c r="AK308" s="29" t="s">
        <v>162</v>
      </c>
      <c r="AL308" s="31">
        <v>1.62</v>
      </c>
      <c r="AM308" s="30">
        <v>1.3</v>
      </c>
      <c r="AR308" s="217"/>
    </row>
    <row r="309" spans="1:44" s="29" customFormat="1">
      <c r="I309" s="207"/>
      <c r="J309" s="207"/>
      <c r="R309" s="30"/>
      <c r="S309" s="30"/>
      <c r="T309" s="30"/>
      <c r="U309" s="30"/>
      <c r="V309" s="30"/>
      <c r="W309" s="30"/>
      <c r="X309" s="30"/>
      <c r="Y309" s="30"/>
      <c r="Z309" s="208"/>
      <c r="AA309" s="30"/>
      <c r="AB309" s="30"/>
      <c r="AC309" s="30"/>
      <c r="AD309" s="30"/>
      <c r="AE309" s="30"/>
      <c r="AF309" s="30"/>
      <c r="AG309" s="30"/>
      <c r="AH309" s="30"/>
      <c r="AI309" s="30"/>
      <c r="AJ309" s="208"/>
      <c r="AL309" s="30"/>
      <c r="AM309" s="30"/>
      <c r="AR309" s="217"/>
    </row>
    <row r="310" spans="1:44">
      <c r="B310" t="s">
        <v>590</v>
      </c>
    </row>
    <row r="311" spans="1:44">
      <c r="A311" t="s">
        <v>590</v>
      </c>
      <c r="B311" t="s">
        <v>591</v>
      </c>
      <c r="C311" t="s">
        <v>608</v>
      </c>
      <c r="D311">
        <v>0.1</v>
      </c>
      <c r="E311">
        <v>100</v>
      </c>
      <c r="F311">
        <v>0</v>
      </c>
      <c r="G311">
        <v>1915</v>
      </c>
      <c r="H311">
        <v>0.41</v>
      </c>
      <c r="K311" s="204" t="s">
        <v>297</v>
      </c>
      <c r="L311" s="204" t="s">
        <v>442</v>
      </c>
      <c r="M311" s="208">
        <v>567</v>
      </c>
      <c r="N311" s="208"/>
      <c r="O311" s="208">
        <v>2013</v>
      </c>
      <c r="Q311" s="208" t="s">
        <v>337</v>
      </c>
      <c r="R311" s="208" t="s">
        <v>180</v>
      </c>
      <c r="S311" s="208" t="s">
        <v>353</v>
      </c>
      <c r="T311" s="208" t="s">
        <v>179</v>
      </c>
      <c r="U311" s="208" t="s">
        <v>344</v>
      </c>
      <c r="V311" s="208" t="s">
        <v>713</v>
      </c>
      <c r="W311" s="208" t="s">
        <v>356</v>
      </c>
      <c r="X311" s="208"/>
      <c r="Y311" s="208"/>
      <c r="AA311" s="208">
        <v>1</v>
      </c>
      <c r="AB311" s="208">
        <v>1.2</v>
      </c>
      <c r="AC311" s="208">
        <v>2</v>
      </c>
      <c r="AD311" s="208">
        <v>2.5</v>
      </c>
      <c r="AE311" s="208">
        <v>2.7</v>
      </c>
      <c r="AF311" s="208">
        <v>3</v>
      </c>
      <c r="AG311" s="208">
        <v>6</v>
      </c>
      <c r="AK311" s="208">
        <v>3.3</v>
      </c>
      <c r="AL311" s="31">
        <v>1.1200000000000001</v>
      </c>
      <c r="AM311" s="30">
        <v>0</v>
      </c>
      <c r="AN311" t="s">
        <v>602</v>
      </c>
    </row>
    <row r="312" spans="1:44">
      <c r="A312" s="204" t="s">
        <v>590</v>
      </c>
      <c r="B312" t="s">
        <v>592</v>
      </c>
      <c r="C312" t="s">
        <v>596</v>
      </c>
      <c r="D312">
        <v>50</v>
      </c>
      <c r="E312">
        <v>350</v>
      </c>
      <c r="F312">
        <v>0</v>
      </c>
      <c r="G312">
        <v>8250</v>
      </c>
      <c r="H312">
        <v>0.37</v>
      </c>
      <c r="K312" s="204" t="s">
        <v>297</v>
      </c>
      <c r="L312" s="204" t="s">
        <v>442</v>
      </c>
      <c r="M312" s="208">
        <v>567</v>
      </c>
      <c r="N312" s="208"/>
      <c r="O312" s="208">
        <v>2013</v>
      </c>
      <c r="Q312" s="208" t="s">
        <v>337</v>
      </c>
      <c r="R312" s="208" t="s">
        <v>180</v>
      </c>
      <c r="S312" s="208" t="s">
        <v>353</v>
      </c>
      <c r="T312" s="208" t="s">
        <v>179</v>
      </c>
      <c r="U312" s="208" t="s">
        <v>344</v>
      </c>
      <c r="V312" s="208" t="s">
        <v>713</v>
      </c>
      <c r="W312" s="208" t="s">
        <v>356</v>
      </c>
      <c r="X312" s="208"/>
      <c r="Y312" s="208"/>
      <c r="AA312" s="208">
        <v>1</v>
      </c>
      <c r="AB312" s="208">
        <v>1.2</v>
      </c>
      <c r="AC312" s="208">
        <v>2</v>
      </c>
      <c r="AD312" s="208">
        <v>2.5</v>
      </c>
      <c r="AE312" s="208">
        <v>2.7</v>
      </c>
      <c r="AF312" s="208">
        <v>3</v>
      </c>
      <c r="AG312" s="208">
        <v>6</v>
      </c>
      <c r="AK312" s="208">
        <v>3.3</v>
      </c>
      <c r="AL312" s="31">
        <v>1.1200000000000001</v>
      </c>
      <c r="AM312" s="30">
        <v>0</v>
      </c>
      <c r="AN312" t="s">
        <v>603</v>
      </c>
    </row>
    <row r="313" spans="1:44">
      <c r="A313" s="204" t="s">
        <v>590</v>
      </c>
      <c r="B313" t="s">
        <v>593</v>
      </c>
      <c r="C313" s="204" t="s">
        <v>596</v>
      </c>
      <c r="D313">
        <v>60</v>
      </c>
      <c r="E313">
        <v>240</v>
      </c>
      <c r="F313">
        <v>0</v>
      </c>
      <c r="G313">
        <v>8075</v>
      </c>
      <c r="H313">
        <v>0.41</v>
      </c>
      <c r="K313" s="204" t="s">
        <v>297</v>
      </c>
      <c r="L313" s="204" t="s">
        <v>442</v>
      </c>
      <c r="M313" s="208">
        <v>567</v>
      </c>
      <c r="N313" s="208"/>
      <c r="O313" s="208">
        <v>2013</v>
      </c>
      <c r="Q313" s="208" t="s">
        <v>337</v>
      </c>
      <c r="R313" s="208" t="s">
        <v>180</v>
      </c>
      <c r="S313" s="208" t="s">
        <v>353</v>
      </c>
      <c r="T313" s="208" t="s">
        <v>179</v>
      </c>
      <c r="U313" s="208" t="s">
        <v>344</v>
      </c>
      <c r="V313" s="208" t="s">
        <v>713</v>
      </c>
      <c r="W313" s="208" t="s">
        <v>356</v>
      </c>
      <c r="X313" s="208"/>
      <c r="Y313" s="208"/>
      <c r="AA313" s="208">
        <v>1</v>
      </c>
      <c r="AB313" s="208">
        <v>1.2</v>
      </c>
      <c r="AC313" s="208">
        <v>2</v>
      </c>
      <c r="AD313" s="208">
        <v>2.5</v>
      </c>
      <c r="AE313" s="208">
        <v>2.7</v>
      </c>
      <c r="AF313" s="208">
        <v>3</v>
      </c>
      <c r="AG313" s="208">
        <v>6</v>
      </c>
      <c r="AK313" s="208">
        <v>3.3</v>
      </c>
      <c r="AL313" s="31">
        <v>1.1200000000000001</v>
      </c>
      <c r="AM313" s="30">
        <v>0</v>
      </c>
      <c r="AN313" t="s">
        <v>604</v>
      </c>
    </row>
    <row r="314" spans="1:44">
      <c r="A314" s="204" t="s">
        <v>590</v>
      </c>
      <c r="B314" t="s">
        <v>594</v>
      </c>
      <c r="C314" s="204" t="s">
        <v>596</v>
      </c>
      <c r="D314">
        <v>60</v>
      </c>
      <c r="E314">
        <v>270</v>
      </c>
      <c r="F314">
        <v>0</v>
      </c>
      <c r="G314" s="204">
        <v>9785</v>
      </c>
      <c r="H314" s="204">
        <v>0.36</v>
      </c>
      <c r="K314" s="204" t="s">
        <v>297</v>
      </c>
      <c r="L314" s="204" t="s">
        <v>442</v>
      </c>
      <c r="M314" s="208">
        <v>567</v>
      </c>
      <c r="N314" s="208"/>
      <c r="O314" s="208">
        <v>2013</v>
      </c>
      <c r="Q314" s="208" t="s">
        <v>337</v>
      </c>
      <c r="R314" s="208" t="s">
        <v>180</v>
      </c>
      <c r="S314" s="208" t="s">
        <v>353</v>
      </c>
      <c r="T314" s="208" t="s">
        <v>179</v>
      </c>
      <c r="U314" s="208" t="s">
        <v>344</v>
      </c>
      <c r="V314" s="208" t="s">
        <v>713</v>
      </c>
      <c r="W314" s="208" t="s">
        <v>356</v>
      </c>
      <c r="X314" s="208"/>
      <c r="Y314" s="208"/>
      <c r="AA314" s="208">
        <v>1</v>
      </c>
      <c r="AB314" s="208">
        <v>1.2</v>
      </c>
      <c r="AC314" s="208">
        <v>2</v>
      </c>
      <c r="AD314" s="208">
        <v>2.5</v>
      </c>
      <c r="AE314" s="208">
        <v>2.7</v>
      </c>
      <c r="AF314" s="208">
        <v>3</v>
      </c>
      <c r="AG314" s="208">
        <v>6</v>
      </c>
      <c r="AK314" s="208">
        <v>3.3</v>
      </c>
      <c r="AL314" s="31">
        <v>1.1200000000000001</v>
      </c>
      <c r="AM314" s="30">
        <v>0</v>
      </c>
      <c r="AN314" s="204" t="s">
        <v>604</v>
      </c>
    </row>
    <row r="315" spans="1:44">
      <c r="A315" s="204" t="s">
        <v>590</v>
      </c>
      <c r="B315" t="s">
        <v>595</v>
      </c>
      <c r="C315" s="204" t="s">
        <v>596</v>
      </c>
      <c r="D315">
        <v>50</v>
      </c>
      <c r="E315">
        <v>350</v>
      </c>
      <c r="F315">
        <v>0</v>
      </c>
      <c r="G315">
        <v>10875</v>
      </c>
      <c r="H315">
        <v>0.38</v>
      </c>
      <c r="K315" s="204" t="s">
        <v>297</v>
      </c>
      <c r="L315" s="204" t="s">
        <v>442</v>
      </c>
      <c r="M315" s="208">
        <v>567</v>
      </c>
      <c r="N315" s="208"/>
      <c r="O315" s="208">
        <v>2013</v>
      </c>
      <c r="Q315" s="208" t="s">
        <v>337</v>
      </c>
      <c r="R315" s="208" t="s">
        <v>180</v>
      </c>
      <c r="S315" s="208" t="s">
        <v>353</v>
      </c>
      <c r="T315" s="208" t="s">
        <v>179</v>
      </c>
      <c r="U315" s="208" t="s">
        <v>344</v>
      </c>
      <c r="V315" s="208" t="s">
        <v>713</v>
      </c>
      <c r="W315" s="208" t="s">
        <v>356</v>
      </c>
      <c r="X315" s="208"/>
      <c r="Y315" s="208"/>
      <c r="AA315" s="208">
        <v>1</v>
      </c>
      <c r="AB315" s="208">
        <v>1.2</v>
      </c>
      <c r="AC315" s="208">
        <v>2</v>
      </c>
      <c r="AD315" s="208">
        <v>2.5</v>
      </c>
      <c r="AE315" s="208">
        <v>2.7</v>
      </c>
      <c r="AF315" s="208">
        <v>3</v>
      </c>
      <c r="AG315" s="208">
        <v>6</v>
      </c>
      <c r="AK315" s="208">
        <v>3.3</v>
      </c>
      <c r="AL315" s="31">
        <v>1.1200000000000001</v>
      </c>
      <c r="AM315" s="30">
        <v>0</v>
      </c>
      <c r="AN315" t="s">
        <v>605</v>
      </c>
    </row>
    <row r="317" spans="1:44">
      <c r="B317" t="s">
        <v>600</v>
      </c>
    </row>
    <row r="318" spans="1:44">
      <c r="A318" t="s">
        <v>600</v>
      </c>
      <c r="B318" t="s">
        <v>597</v>
      </c>
      <c r="C318" t="s">
        <v>601</v>
      </c>
      <c r="D318">
        <v>75</v>
      </c>
      <c r="E318">
        <v>75000</v>
      </c>
      <c r="F318">
        <v>0</v>
      </c>
      <c r="G318">
        <v>16785</v>
      </c>
      <c r="H318">
        <v>0.64</v>
      </c>
      <c r="K318" s="204" t="s">
        <v>297</v>
      </c>
      <c r="L318" s="204" t="s">
        <v>442</v>
      </c>
      <c r="M318" s="208">
        <v>567</v>
      </c>
      <c r="N318" s="208"/>
      <c r="O318" s="208">
        <v>2013</v>
      </c>
      <c r="Q318" s="208" t="s">
        <v>337</v>
      </c>
      <c r="R318" s="208" t="s">
        <v>180</v>
      </c>
      <c r="S318" s="208" t="s">
        <v>353</v>
      </c>
      <c r="T318" s="208" t="s">
        <v>179</v>
      </c>
      <c r="U318" s="208" t="s">
        <v>344</v>
      </c>
      <c r="V318" s="208" t="s">
        <v>713</v>
      </c>
      <c r="W318" s="208" t="s">
        <v>356</v>
      </c>
      <c r="X318" s="208"/>
      <c r="Y318" s="208"/>
      <c r="AA318" s="208">
        <v>1</v>
      </c>
      <c r="AB318" s="208">
        <v>1.2</v>
      </c>
      <c r="AC318" s="208">
        <v>2</v>
      </c>
      <c r="AD318" s="208">
        <v>2.5</v>
      </c>
      <c r="AE318" s="208">
        <v>2.7</v>
      </c>
      <c r="AF318" s="208">
        <v>3</v>
      </c>
      <c r="AG318" s="208">
        <v>6</v>
      </c>
      <c r="AK318" s="29">
        <v>1</v>
      </c>
      <c r="AL318" s="27">
        <v>1.62</v>
      </c>
      <c r="AM318" s="30">
        <v>1.3</v>
      </c>
      <c r="AN318" t="s">
        <v>509</v>
      </c>
    </row>
    <row r="319" spans="1:44">
      <c r="A319" s="204" t="s">
        <v>600</v>
      </c>
      <c r="B319" s="204" t="s">
        <v>598</v>
      </c>
      <c r="C319" s="204" t="s">
        <v>601</v>
      </c>
      <c r="D319" s="204">
        <v>75</v>
      </c>
      <c r="E319" s="204">
        <v>75000</v>
      </c>
      <c r="F319">
        <v>0</v>
      </c>
      <c r="G319">
        <v>48760</v>
      </c>
      <c r="H319" s="204">
        <v>0.64</v>
      </c>
      <c r="K319" s="204" t="s">
        <v>297</v>
      </c>
      <c r="L319" s="204" t="s">
        <v>442</v>
      </c>
      <c r="M319" s="208">
        <v>567</v>
      </c>
      <c r="N319" s="208"/>
      <c r="O319" s="208">
        <v>2013</v>
      </c>
      <c r="Q319" s="208" t="s">
        <v>337</v>
      </c>
      <c r="R319" s="208" t="s">
        <v>180</v>
      </c>
      <c r="S319" s="208" t="s">
        <v>353</v>
      </c>
      <c r="T319" s="208" t="s">
        <v>179</v>
      </c>
      <c r="U319" s="208" t="s">
        <v>344</v>
      </c>
      <c r="V319" s="208" t="s">
        <v>713</v>
      </c>
      <c r="W319" s="208" t="s">
        <v>356</v>
      </c>
      <c r="X319" s="208"/>
      <c r="Y319" s="208"/>
      <c r="AA319" s="208">
        <v>1</v>
      </c>
      <c r="AB319" s="208">
        <v>1.2</v>
      </c>
      <c r="AC319" s="208">
        <v>2</v>
      </c>
      <c r="AD319" s="208">
        <v>2.5</v>
      </c>
      <c r="AE319" s="208">
        <v>2.7</v>
      </c>
      <c r="AF319" s="208">
        <v>3</v>
      </c>
      <c r="AG319" s="208">
        <v>6</v>
      </c>
      <c r="AK319" s="29">
        <v>1</v>
      </c>
      <c r="AL319" s="27">
        <v>1.62</v>
      </c>
      <c r="AM319" s="30">
        <v>1.3</v>
      </c>
      <c r="AN319" s="204" t="s">
        <v>509</v>
      </c>
    </row>
    <row r="320" spans="1:44">
      <c r="A320" s="204" t="s">
        <v>600</v>
      </c>
      <c r="B320" s="204" t="s">
        <v>599</v>
      </c>
      <c r="C320" s="204" t="s">
        <v>601</v>
      </c>
      <c r="D320" s="204">
        <v>75</v>
      </c>
      <c r="E320" s="204">
        <v>75000</v>
      </c>
      <c r="F320">
        <v>0</v>
      </c>
      <c r="G320">
        <v>99790</v>
      </c>
      <c r="H320" s="204">
        <v>0.64</v>
      </c>
      <c r="K320" s="204" t="s">
        <v>297</v>
      </c>
      <c r="L320" s="204" t="s">
        <v>442</v>
      </c>
      <c r="M320" s="208">
        <v>567</v>
      </c>
      <c r="N320" s="208"/>
      <c r="O320" s="208">
        <v>2013</v>
      </c>
      <c r="Q320" s="208" t="s">
        <v>337</v>
      </c>
      <c r="R320" s="208" t="s">
        <v>180</v>
      </c>
      <c r="S320" s="208" t="s">
        <v>353</v>
      </c>
      <c r="T320" s="208" t="s">
        <v>179</v>
      </c>
      <c r="U320" s="208" t="s">
        <v>344</v>
      </c>
      <c r="V320" s="208" t="s">
        <v>713</v>
      </c>
      <c r="W320" s="208" t="s">
        <v>356</v>
      </c>
      <c r="X320" s="208"/>
      <c r="Y320" s="208"/>
      <c r="AA320" s="208">
        <v>1</v>
      </c>
      <c r="AB320" s="208">
        <v>1.2</v>
      </c>
      <c r="AC320" s="208">
        <v>2</v>
      </c>
      <c r="AD320" s="208">
        <v>2.5</v>
      </c>
      <c r="AE320" s="208">
        <v>2.7</v>
      </c>
      <c r="AF320" s="208">
        <v>3</v>
      </c>
      <c r="AG320" s="208">
        <v>6</v>
      </c>
      <c r="AK320" s="29">
        <v>1</v>
      </c>
      <c r="AL320" s="27">
        <v>1.62</v>
      </c>
      <c r="AM320" s="30">
        <v>1.3</v>
      </c>
      <c r="AN320" s="204" t="s">
        <v>509</v>
      </c>
    </row>
    <row r="321" spans="2:40">
      <c r="K321" s="29"/>
      <c r="L321" s="29"/>
    </row>
    <row r="322" spans="2:40">
      <c r="B322" t="s">
        <v>777</v>
      </c>
      <c r="C322" s="1" t="s">
        <v>779</v>
      </c>
    </row>
    <row r="323" spans="2:40">
      <c r="C323" s="212"/>
      <c r="M323" s="31"/>
      <c r="N323" s="31"/>
      <c r="O323" s="31"/>
    </row>
    <row r="324" spans="2:40">
      <c r="C324" s="212"/>
      <c r="P324" s="208"/>
    </row>
    <row r="325" spans="2:40">
      <c r="B325" s="209"/>
      <c r="C325" s="212"/>
      <c r="P325" s="208"/>
    </row>
    <row r="326" spans="2:40">
      <c r="B326" s="209"/>
      <c r="C326" s="212"/>
      <c r="P326" s="208"/>
    </row>
    <row r="327" spans="2:40">
      <c r="B327" s="209"/>
      <c r="C327" s="209"/>
      <c r="P327" s="208"/>
    </row>
    <row r="328" spans="2:40">
      <c r="B328" s="209"/>
      <c r="C328" s="209"/>
    </row>
    <row r="329" spans="2:40">
      <c r="B329" s="209"/>
      <c r="C329" s="209"/>
    </row>
    <row r="330" spans="2:40">
      <c r="B330" s="209"/>
      <c r="C330" s="209"/>
    </row>
    <row r="331" spans="2:40">
      <c r="B331" s="209"/>
      <c r="C331" s="209"/>
    </row>
    <row r="332" spans="2:40">
      <c r="B332" s="209"/>
      <c r="C332" s="209"/>
    </row>
    <row r="333" spans="2:40">
      <c r="B333" s="209"/>
      <c r="C333" s="209"/>
      <c r="D333" s="211"/>
      <c r="E333" s="211"/>
      <c r="AN333" s="208"/>
    </row>
    <row r="334" spans="2:40">
      <c r="B334" s="209"/>
      <c r="C334" s="209"/>
      <c r="AN334" s="208"/>
    </row>
    <row r="335" spans="2:40">
      <c r="B335" s="209"/>
      <c r="C335" s="209"/>
      <c r="AN335" s="208"/>
    </row>
    <row r="336" spans="2:40">
      <c r="B336" s="209"/>
      <c r="C336" s="209"/>
    </row>
    <row r="337" spans="2:39">
      <c r="B337" s="209"/>
      <c r="C337" s="209"/>
    </row>
    <row r="338" spans="2:39">
      <c r="B338" s="209"/>
      <c r="C338" s="209"/>
    </row>
    <row r="339" spans="2:39">
      <c r="B339" s="209"/>
      <c r="C339" s="209"/>
    </row>
    <row r="340" spans="2:39">
      <c r="B340" s="209"/>
      <c r="C340" s="209"/>
    </row>
    <row r="341" spans="2:39">
      <c r="B341" s="209"/>
      <c r="C341" s="209"/>
      <c r="I341"/>
      <c r="J341"/>
      <c r="K341"/>
      <c r="L341"/>
      <c r="M341"/>
      <c r="N341"/>
      <c r="Q341"/>
      <c r="R341"/>
      <c r="S341"/>
      <c r="T341"/>
      <c r="U341"/>
      <c r="V341"/>
      <c r="W341"/>
      <c r="X341"/>
      <c r="Y341"/>
      <c r="Z341"/>
      <c r="AA341"/>
      <c r="AB341"/>
      <c r="AC341"/>
      <c r="AD341"/>
      <c r="AE341"/>
      <c r="AF341"/>
      <c r="AG341"/>
      <c r="AH341"/>
      <c r="AI341"/>
      <c r="AJ341"/>
      <c r="AK341"/>
      <c r="AL341"/>
      <c r="AM341"/>
    </row>
    <row r="342" spans="2:39">
      <c r="B342" s="209"/>
      <c r="C342" s="209"/>
      <c r="I342"/>
      <c r="J342"/>
      <c r="K342"/>
      <c r="L342"/>
      <c r="M342"/>
      <c r="N342"/>
      <c r="Q342"/>
      <c r="R342"/>
      <c r="S342"/>
      <c r="T342"/>
      <c r="U342"/>
      <c r="V342"/>
      <c r="W342"/>
      <c r="X342"/>
      <c r="Y342"/>
      <c r="Z342"/>
      <c r="AA342"/>
      <c r="AB342"/>
      <c r="AC342"/>
      <c r="AD342"/>
      <c r="AE342"/>
      <c r="AF342"/>
      <c r="AG342"/>
      <c r="AH342"/>
      <c r="AI342"/>
      <c r="AJ342"/>
      <c r="AK342"/>
      <c r="AL342"/>
      <c r="AM342"/>
    </row>
    <row r="343" spans="2:39">
      <c r="B343" s="209"/>
      <c r="C343" s="209"/>
      <c r="I343"/>
      <c r="J343"/>
      <c r="K343"/>
      <c r="L343"/>
      <c r="M343"/>
      <c r="N343"/>
      <c r="Q343"/>
      <c r="R343"/>
      <c r="S343"/>
      <c r="T343"/>
      <c r="U343"/>
      <c r="V343"/>
      <c r="W343"/>
      <c r="X343"/>
      <c r="Y343"/>
      <c r="Z343"/>
      <c r="AA343"/>
      <c r="AB343"/>
      <c r="AC343"/>
      <c r="AD343"/>
      <c r="AE343"/>
      <c r="AF343"/>
      <c r="AG343"/>
      <c r="AH343"/>
      <c r="AI343"/>
      <c r="AJ343"/>
      <c r="AK343"/>
      <c r="AL343"/>
      <c r="AM343"/>
    </row>
    <row r="344" spans="2:39">
      <c r="B344" s="209"/>
      <c r="C344" s="209"/>
      <c r="I344"/>
      <c r="J344"/>
      <c r="K344"/>
      <c r="L344"/>
      <c r="M344"/>
      <c r="N344"/>
      <c r="Q344"/>
      <c r="R344"/>
      <c r="S344"/>
      <c r="T344"/>
      <c r="U344"/>
      <c r="V344"/>
      <c r="W344"/>
      <c r="X344"/>
      <c r="Y344"/>
      <c r="Z344"/>
      <c r="AA344"/>
      <c r="AB344"/>
      <c r="AC344"/>
      <c r="AD344"/>
      <c r="AE344"/>
      <c r="AF344"/>
      <c r="AG344"/>
      <c r="AH344"/>
      <c r="AI344"/>
      <c r="AJ344"/>
      <c r="AK344"/>
      <c r="AL344"/>
      <c r="AM344"/>
    </row>
    <row r="345" spans="2:39">
      <c r="B345" s="209"/>
      <c r="C345" s="209"/>
      <c r="I345"/>
      <c r="J345"/>
      <c r="K345"/>
      <c r="L345"/>
      <c r="M345"/>
      <c r="N345"/>
      <c r="Q345"/>
      <c r="R345"/>
      <c r="S345"/>
      <c r="T345"/>
      <c r="U345"/>
      <c r="V345"/>
      <c r="W345"/>
      <c r="X345"/>
      <c r="Y345"/>
      <c r="Z345"/>
      <c r="AA345"/>
      <c r="AB345"/>
      <c r="AC345"/>
      <c r="AD345"/>
      <c r="AE345"/>
      <c r="AF345"/>
      <c r="AG345"/>
      <c r="AH345"/>
      <c r="AI345"/>
      <c r="AJ345"/>
      <c r="AK345"/>
      <c r="AL345"/>
      <c r="AM345"/>
    </row>
    <row r="346" spans="2:39">
      <c r="B346" s="209"/>
      <c r="C346" s="209"/>
      <c r="I346"/>
      <c r="J346"/>
      <c r="K346"/>
      <c r="L346"/>
      <c r="M346"/>
      <c r="N346"/>
      <c r="Q346"/>
      <c r="R346"/>
      <c r="S346"/>
      <c r="T346"/>
      <c r="U346"/>
      <c r="V346"/>
      <c r="W346"/>
      <c r="X346"/>
      <c r="Y346"/>
      <c r="Z346"/>
      <c r="AA346"/>
      <c r="AB346"/>
      <c r="AC346"/>
      <c r="AD346"/>
      <c r="AE346"/>
      <c r="AF346"/>
      <c r="AG346"/>
      <c r="AH346"/>
      <c r="AI346"/>
      <c r="AJ346"/>
      <c r="AK346"/>
      <c r="AL346"/>
      <c r="AM346"/>
    </row>
    <row r="347" spans="2:39">
      <c r="B347" s="209"/>
      <c r="C347" s="209"/>
      <c r="I347"/>
      <c r="J347"/>
      <c r="K347"/>
      <c r="L347"/>
      <c r="M347"/>
      <c r="N347"/>
      <c r="Q347"/>
      <c r="R347"/>
      <c r="S347"/>
      <c r="T347"/>
      <c r="U347"/>
      <c r="V347"/>
      <c r="W347"/>
      <c r="X347"/>
      <c r="Y347"/>
      <c r="Z347"/>
      <c r="AA347"/>
      <c r="AB347"/>
      <c r="AC347"/>
      <c r="AD347"/>
      <c r="AE347"/>
      <c r="AF347"/>
      <c r="AG347"/>
      <c r="AH347"/>
      <c r="AI347"/>
      <c r="AJ347"/>
      <c r="AK347"/>
      <c r="AL347"/>
      <c r="AM347"/>
    </row>
    <row r="348" spans="2:39">
      <c r="B348" s="209"/>
      <c r="C348" s="209"/>
      <c r="I348"/>
      <c r="J348"/>
      <c r="K348"/>
      <c r="L348"/>
      <c r="M348"/>
      <c r="N348"/>
      <c r="Q348"/>
      <c r="R348"/>
      <c r="S348"/>
      <c r="T348"/>
      <c r="U348"/>
      <c r="V348"/>
      <c r="W348"/>
      <c r="X348"/>
      <c r="Y348"/>
      <c r="Z348"/>
      <c r="AA348"/>
      <c r="AB348"/>
      <c r="AC348"/>
      <c r="AD348"/>
      <c r="AE348"/>
      <c r="AF348"/>
      <c r="AG348"/>
      <c r="AH348"/>
      <c r="AI348"/>
      <c r="AJ348"/>
      <c r="AK348"/>
      <c r="AL348"/>
      <c r="AM348"/>
    </row>
    <row r="349" spans="2:39">
      <c r="B349" s="209"/>
      <c r="C349" s="209"/>
      <c r="I349"/>
      <c r="J349"/>
      <c r="K349"/>
      <c r="L349"/>
      <c r="M349"/>
      <c r="N349"/>
      <c r="Q349"/>
      <c r="R349"/>
      <c r="S349"/>
      <c r="T349"/>
      <c r="U349"/>
      <c r="V349"/>
      <c r="W349"/>
      <c r="X349"/>
      <c r="Y349"/>
      <c r="Z349"/>
      <c r="AA349"/>
      <c r="AB349"/>
      <c r="AC349"/>
      <c r="AD349"/>
      <c r="AE349"/>
      <c r="AF349"/>
      <c r="AG349"/>
      <c r="AH349"/>
      <c r="AI349"/>
      <c r="AJ349"/>
      <c r="AK349"/>
      <c r="AL349"/>
      <c r="AM349"/>
    </row>
    <row r="350" spans="2:39">
      <c r="B350" s="209"/>
      <c r="C350" s="209"/>
      <c r="I350"/>
      <c r="J350"/>
      <c r="K350"/>
      <c r="L350"/>
      <c r="M350"/>
      <c r="N350"/>
      <c r="Q350"/>
      <c r="R350"/>
      <c r="S350"/>
      <c r="T350"/>
      <c r="U350"/>
      <c r="V350"/>
      <c r="W350"/>
      <c r="X350"/>
      <c r="Y350"/>
      <c r="Z350"/>
      <c r="AA350"/>
      <c r="AB350"/>
      <c r="AC350"/>
      <c r="AD350"/>
      <c r="AE350"/>
      <c r="AF350"/>
      <c r="AG350"/>
      <c r="AH350"/>
      <c r="AI350"/>
      <c r="AJ350"/>
      <c r="AK350"/>
      <c r="AL350"/>
      <c r="AM350"/>
    </row>
    <row r="351" spans="2:39">
      <c r="B351" s="209"/>
      <c r="C351" s="209"/>
      <c r="I351"/>
      <c r="J351"/>
      <c r="K351"/>
      <c r="L351"/>
      <c r="M351"/>
      <c r="N351"/>
      <c r="Q351"/>
      <c r="R351"/>
      <c r="S351"/>
      <c r="T351"/>
      <c r="U351"/>
      <c r="V351"/>
      <c r="W351"/>
      <c r="X351"/>
      <c r="Y351"/>
      <c r="Z351"/>
      <c r="AA351"/>
      <c r="AB351"/>
      <c r="AC351"/>
      <c r="AD351"/>
      <c r="AE351"/>
      <c r="AF351"/>
      <c r="AG351"/>
      <c r="AH351"/>
      <c r="AI351"/>
      <c r="AJ351"/>
      <c r="AK351"/>
      <c r="AL351"/>
      <c r="AM351"/>
    </row>
    <row r="352" spans="2:39">
      <c r="B352" s="209"/>
      <c r="C352" s="209"/>
      <c r="I352"/>
      <c r="J352"/>
      <c r="K352"/>
      <c r="L352"/>
      <c r="M352"/>
      <c r="N352"/>
      <c r="Q352"/>
      <c r="R352"/>
      <c r="S352"/>
      <c r="T352"/>
      <c r="U352"/>
      <c r="V352"/>
      <c r="W352"/>
      <c r="X352"/>
      <c r="Y352"/>
      <c r="Z352"/>
      <c r="AA352"/>
      <c r="AB352"/>
      <c r="AC352"/>
      <c r="AD352"/>
      <c r="AE352"/>
      <c r="AF352"/>
      <c r="AG352"/>
      <c r="AH352"/>
      <c r="AI352"/>
      <c r="AJ352"/>
      <c r="AK352"/>
      <c r="AL352"/>
      <c r="AM352"/>
    </row>
    <row r="353" spans="2:39">
      <c r="B353" s="209"/>
      <c r="C353" s="209"/>
      <c r="I353"/>
      <c r="J353"/>
      <c r="K353"/>
      <c r="L353"/>
      <c r="M353"/>
      <c r="N353"/>
      <c r="Q353"/>
      <c r="R353"/>
      <c r="S353"/>
      <c r="T353"/>
      <c r="U353"/>
      <c r="V353"/>
      <c r="W353"/>
      <c r="X353"/>
      <c r="Y353"/>
      <c r="Z353"/>
      <c r="AA353"/>
      <c r="AB353"/>
      <c r="AC353"/>
      <c r="AD353"/>
      <c r="AE353"/>
      <c r="AF353"/>
      <c r="AG353"/>
      <c r="AH353"/>
      <c r="AI353"/>
      <c r="AJ353"/>
      <c r="AK353"/>
      <c r="AL353"/>
      <c r="AM353"/>
    </row>
    <row r="354" spans="2:39">
      <c r="B354" s="209"/>
      <c r="C354" s="209"/>
      <c r="I354"/>
      <c r="J354"/>
      <c r="K354"/>
      <c r="L354"/>
      <c r="M354"/>
      <c r="N354"/>
      <c r="Q354"/>
      <c r="R354"/>
      <c r="S354"/>
      <c r="T354"/>
      <c r="U354"/>
      <c r="V354"/>
      <c r="W354"/>
      <c r="X354"/>
      <c r="Y354"/>
      <c r="Z354"/>
      <c r="AA354"/>
      <c r="AB354"/>
      <c r="AC354"/>
      <c r="AD354"/>
      <c r="AE354"/>
      <c r="AF354"/>
      <c r="AG354"/>
      <c r="AH354"/>
      <c r="AI354"/>
      <c r="AJ354"/>
      <c r="AK354"/>
      <c r="AL354"/>
      <c r="AM354"/>
    </row>
    <row r="355" spans="2:39">
      <c r="B355" s="209"/>
      <c r="C355" s="209"/>
      <c r="I355"/>
      <c r="J355"/>
      <c r="K355"/>
      <c r="L355"/>
      <c r="M355"/>
      <c r="N355"/>
      <c r="Q355"/>
      <c r="R355"/>
      <c r="S355"/>
      <c r="T355"/>
      <c r="U355"/>
      <c r="V355"/>
      <c r="W355"/>
      <c r="X355"/>
      <c r="Y355"/>
      <c r="Z355"/>
      <c r="AA355"/>
      <c r="AB355"/>
      <c r="AC355"/>
      <c r="AD355"/>
      <c r="AE355"/>
      <c r="AF355"/>
      <c r="AG355"/>
      <c r="AH355"/>
      <c r="AI355"/>
      <c r="AJ355"/>
      <c r="AK355"/>
      <c r="AL355"/>
      <c r="AM355"/>
    </row>
    <row r="356" spans="2:39">
      <c r="B356" s="209"/>
      <c r="C356" s="209"/>
      <c r="I356"/>
      <c r="J356"/>
      <c r="K356"/>
      <c r="L356"/>
      <c r="M356"/>
      <c r="N356"/>
      <c r="Q356"/>
      <c r="R356"/>
      <c r="S356"/>
      <c r="T356"/>
      <c r="U356"/>
      <c r="V356"/>
      <c r="W356"/>
      <c r="X356"/>
      <c r="Y356"/>
      <c r="Z356"/>
      <c r="AA356"/>
      <c r="AB356"/>
      <c r="AC356"/>
      <c r="AD356"/>
      <c r="AE356"/>
      <c r="AF356"/>
      <c r="AG356"/>
      <c r="AH356"/>
      <c r="AI356"/>
      <c r="AJ356"/>
      <c r="AK356"/>
      <c r="AL356"/>
      <c r="AM356"/>
    </row>
    <row r="357" spans="2:39">
      <c r="B357" s="209"/>
      <c r="C357" s="209"/>
      <c r="I357"/>
      <c r="J357"/>
      <c r="K357"/>
      <c r="L357"/>
      <c r="M357"/>
      <c r="N357"/>
      <c r="Q357"/>
      <c r="R357"/>
      <c r="S357"/>
      <c r="T357"/>
      <c r="U357"/>
      <c r="V357"/>
      <c r="W357"/>
      <c r="X357"/>
      <c r="Y357"/>
      <c r="Z357"/>
      <c r="AA357"/>
      <c r="AB357"/>
      <c r="AC357"/>
      <c r="AD357"/>
      <c r="AE357"/>
      <c r="AF357"/>
      <c r="AG357"/>
      <c r="AH357"/>
      <c r="AI357"/>
      <c r="AJ357"/>
      <c r="AK357"/>
      <c r="AL357"/>
      <c r="AM357"/>
    </row>
    <row r="358" spans="2:39">
      <c r="B358" s="209"/>
      <c r="C358" s="209"/>
      <c r="I358"/>
      <c r="J358"/>
      <c r="K358"/>
      <c r="L358"/>
      <c r="M358"/>
      <c r="N358"/>
      <c r="Q358"/>
      <c r="R358"/>
      <c r="S358"/>
      <c r="T358"/>
      <c r="U358"/>
      <c r="V358"/>
      <c r="W358"/>
      <c r="X358"/>
      <c r="Y358"/>
      <c r="Z358"/>
      <c r="AA358"/>
      <c r="AB358"/>
      <c r="AC358"/>
      <c r="AD358"/>
      <c r="AE358"/>
      <c r="AF358"/>
      <c r="AG358"/>
      <c r="AH358"/>
      <c r="AI358"/>
      <c r="AJ358"/>
      <c r="AK358"/>
      <c r="AL358"/>
      <c r="AM358"/>
    </row>
    <row r="359" spans="2:39">
      <c r="B359" s="209"/>
      <c r="C359" s="209"/>
      <c r="I359"/>
      <c r="J359"/>
      <c r="K359"/>
      <c r="L359"/>
      <c r="M359"/>
      <c r="N359"/>
      <c r="Q359"/>
      <c r="R359"/>
      <c r="S359"/>
      <c r="T359"/>
      <c r="U359"/>
      <c r="V359"/>
      <c r="W359"/>
      <c r="X359"/>
      <c r="Y359"/>
      <c r="Z359"/>
      <c r="AA359"/>
      <c r="AB359"/>
      <c r="AC359"/>
      <c r="AD359"/>
      <c r="AE359"/>
      <c r="AF359"/>
      <c r="AG359"/>
      <c r="AH359"/>
      <c r="AI359"/>
      <c r="AJ359"/>
      <c r="AK359"/>
      <c r="AL359"/>
      <c r="AM359"/>
    </row>
    <row r="360" spans="2:39">
      <c r="B360" s="209"/>
      <c r="C360" s="209"/>
      <c r="I360"/>
      <c r="J360"/>
      <c r="K360"/>
      <c r="L360"/>
      <c r="M360"/>
      <c r="N360"/>
      <c r="Q360"/>
      <c r="R360"/>
      <c r="S360"/>
      <c r="T360"/>
      <c r="U360"/>
      <c r="V360"/>
      <c r="W360"/>
      <c r="X360"/>
      <c r="Y360"/>
      <c r="Z360"/>
      <c r="AA360"/>
      <c r="AB360"/>
      <c r="AC360"/>
      <c r="AD360"/>
      <c r="AE360"/>
      <c r="AF360"/>
      <c r="AG360"/>
      <c r="AH360"/>
      <c r="AI360"/>
      <c r="AJ360"/>
      <c r="AK360"/>
      <c r="AL360"/>
      <c r="AM360"/>
    </row>
    <row r="361" spans="2:39">
      <c r="B361" s="209"/>
      <c r="C361" s="209"/>
      <c r="I361"/>
      <c r="J361"/>
      <c r="K361"/>
      <c r="L361"/>
      <c r="M361"/>
      <c r="N361"/>
      <c r="Q361"/>
      <c r="R361"/>
      <c r="S361"/>
      <c r="T361"/>
      <c r="U361"/>
      <c r="V361"/>
      <c r="W361"/>
      <c r="X361"/>
      <c r="Y361"/>
      <c r="Z361"/>
      <c r="AA361"/>
      <c r="AB361"/>
      <c r="AC361"/>
      <c r="AD361"/>
      <c r="AE361"/>
      <c r="AF361"/>
      <c r="AG361"/>
      <c r="AH361"/>
      <c r="AI361"/>
      <c r="AJ361"/>
      <c r="AK361"/>
      <c r="AL361"/>
      <c r="AM361"/>
    </row>
    <row r="362" spans="2:39">
      <c r="B362" s="209"/>
      <c r="C362" s="209"/>
      <c r="I362"/>
      <c r="J362"/>
      <c r="K362"/>
      <c r="L362"/>
      <c r="M362"/>
      <c r="N362"/>
      <c r="Q362"/>
      <c r="R362"/>
      <c r="S362"/>
      <c r="T362"/>
      <c r="U362"/>
      <c r="V362"/>
      <c r="W362"/>
      <c r="X362"/>
      <c r="Y362"/>
      <c r="Z362"/>
      <c r="AA362"/>
      <c r="AB362"/>
      <c r="AC362"/>
      <c r="AD362"/>
      <c r="AE362"/>
      <c r="AF362"/>
      <c r="AG362"/>
      <c r="AH362"/>
      <c r="AI362"/>
      <c r="AJ362"/>
      <c r="AK362"/>
      <c r="AL362"/>
      <c r="AM362"/>
    </row>
    <row r="363" spans="2:39">
      <c r="B363" s="209"/>
      <c r="C363" s="209"/>
      <c r="I363"/>
      <c r="J363"/>
      <c r="K363"/>
      <c r="L363"/>
      <c r="M363"/>
      <c r="N363"/>
      <c r="Q363"/>
      <c r="R363"/>
      <c r="S363"/>
      <c r="T363"/>
      <c r="U363"/>
      <c r="V363"/>
      <c r="W363"/>
      <c r="X363"/>
      <c r="Y363"/>
      <c r="Z363"/>
      <c r="AA363"/>
      <c r="AB363"/>
      <c r="AC363"/>
      <c r="AD363"/>
      <c r="AE363"/>
      <c r="AF363"/>
      <c r="AG363"/>
      <c r="AH363"/>
      <c r="AI363"/>
      <c r="AJ363"/>
      <c r="AK363"/>
      <c r="AL363"/>
      <c r="AM363"/>
    </row>
    <row r="364" spans="2:39">
      <c r="B364" s="209"/>
      <c r="C364" s="209"/>
      <c r="I364"/>
      <c r="J364"/>
      <c r="K364"/>
      <c r="L364"/>
      <c r="M364"/>
      <c r="N364"/>
      <c r="Q364"/>
      <c r="R364"/>
      <c r="S364"/>
      <c r="T364"/>
      <c r="U364"/>
      <c r="V364"/>
      <c r="W364"/>
      <c r="X364"/>
      <c r="Y364"/>
      <c r="Z364"/>
      <c r="AA364"/>
      <c r="AB364"/>
      <c r="AC364"/>
      <c r="AD364"/>
      <c r="AE364"/>
      <c r="AF364"/>
      <c r="AG364"/>
      <c r="AH364"/>
      <c r="AI364"/>
      <c r="AJ364"/>
      <c r="AK364"/>
      <c r="AL364"/>
      <c r="AM364"/>
    </row>
    <row r="365" spans="2:39">
      <c r="B365" s="209"/>
      <c r="C365" s="209"/>
      <c r="I365"/>
      <c r="J365"/>
      <c r="K365"/>
      <c r="L365"/>
      <c r="M365"/>
      <c r="N365"/>
      <c r="Q365"/>
      <c r="R365"/>
      <c r="S365"/>
      <c r="T365"/>
      <c r="U365"/>
      <c r="V365"/>
      <c r="W365"/>
      <c r="X365"/>
      <c r="Y365"/>
      <c r="Z365"/>
      <c r="AA365"/>
      <c r="AB365"/>
      <c r="AC365"/>
      <c r="AD365"/>
      <c r="AE365"/>
      <c r="AF365"/>
      <c r="AG365"/>
      <c r="AH365"/>
      <c r="AI365"/>
      <c r="AJ365"/>
      <c r="AK365"/>
      <c r="AL365"/>
      <c r="AM365"/>
    </row>
    <row r="366" spans="2:39">
      <c r="B366" s="209"/>
      <c r="C366" s="209"/>
      <c r="I366"/>
      <c r="J366"/>
      <c r="K366"/>
      <c r="L366"/>
      <c r="M366"/>
      <c r="N366"/>
      <c r="Q366"/>
      <c r="R366"/>
      <c r="S366"/>
      <c r="T366"/>
      <c r="U366"/>
      <c r="V366"/>
      <c r="W366"/>
      <c r="X366"/>
      <c r="Y366"/>
      <c r="Z366"/>
      <c r="AA366"/>
      <c r="AB366"/>
      <c r="AC366"/>
      <c r="AD366"/>
      <c r="AE366"/>
      <c r="AF366"/>
      <c r="AG366"/>
      <c r="AH366"/>
      <c r="AI366"/>
      <c r="AJ366"/>
      <c r="AK366"/>
      <c r="AL366"/>
      <c r="AM366"/>
    </row>
    <row r="367" spans="2:39">
      <c r="B367" s="209"/>
      <c r="C367" s="209"/>
      <c r="I367"/>
      <c r="J367"/>
      <c r="K367"/>
      <c r="L367"/>
      <c r="M367"/>
      <c r="N367"/>
      <c r="Q367"/>
      <c r="R367"/>
      <c r="S367"/>
      <c r="T367"/>
      <c r="U367"/>
      <c r="V367"/>
      <c r="W367"/>
      <c r="X367"/>
      <c r="Y367"/>
      <c r="Z367"/>
      <c r="AA367"/>
      <c r="AB367"/>
      <c r="AC367"/>
      <c r="AD367"/>
      <c r="AE367"/>
      <c r="AF367"/>
      <c r="AG367"/>
      <c r="AH367"/>
      <c r="AI367"/>
      <c r="AJ367"/>
      <c r="AK367"/>
      <c r="AL367"/>
      <c r="AM367"/>
    </row>
    <row r="368" spans="2:39">
      <c r="B368" s="209"/>
      <c r="C368" s="209"/>
      <c r="I368"/>
      <c r="J368"/>
      <c r="K368"/>
      <c r="L368"/>
      <c r="M368"/>
      <c r="N368"/>
      <c r="Q368"/>
      <c r="R368"/>
      <c r="S368"/>
      <c r="T368"/>
      <c r="U368"/>
      <c r="V368"/>
      <c r="W368"/>
      <c r="X368"/>
      <c r="Y368"/>
      <c r="Z368"/>
      <c r="AA368"/>
      <c r="AB368"/>
      <c r="AC368"/>
      <c r="AD368"/>
      <c r="AE368"/>
      <c r="AF368"/>
      <c r="AG368"/>
      <c r="AH368"/>
      <c r="AI368"/>
      <c r="AJ368"/>
      <c r="AK368"/>
      <c r="AL368"/>
      <c r="AM368"/>
    </row>
    <row r="369" spans="2:39">
      <c r="B369" s="209"/>
      <c r="C369" s="209"/>
      <c r="I369"/>
      <c r="J369"/>
      <c r="K369"/>
      <c r="L369"/>
      <c r="M369"/>
      <c r="N369"/>
      <c r="Q369"/>
      <c r="R369"/>
      <c r="S369"/>
      <c r="T369"/>
      <c r="U369"/>
      <c r="V369"/>
      <c r="W369"/>
      <c r="X369"/>
      <c r="Y369"/>
      <c r="Z369"/>
      <c r="AA369"/>
      <c r="AB369"/>
      <c r="AC369"/>
      <c r="AD369"/>
      <c r="AE369"/>
      <c r="AF369"/>
      <c r="AG369"/>
      <c r="AH369"/>
      <c r="AI369"/>
      <c r="AJ369"/>
      <c r="AK369"/>
      <c r="AL369"/>
      <c r="AM369"/>
    </row>
    <row r="370" spans="2:39">
      <c r="B370" s="209"/>
      <c r="C370" s="209"/>
      <c r="I370"/>
      <c r="J370"/>
      <c r="K370"/>
      <c r="L370"/>
      <c r="M370"/>
      <c r="N370"/>
      <c r="Q370"/>
      <c r="R370"/>
      <c r="S370"/>
      <c r="T370"/>
      <c r="U370"/>
      <c r="V370"/>
      <c r="W370"/>
      <c r="X370"/>
      <c r="Y370"/>
      <c r="Z370"/>
      <c r="AA370"/>
      <c r="AB370"/>
      <c r="AC370"/>
      <c r="AD370"/>
      <c r="AE370"/>
      <c r="AF370"/>
      <c r="AG370"/>
      <c r="AH370"/>
      <c r="AI370"/>
      <c r="AJ370"/>
      <c r="AK370"/>
      <c r="AL370"/>
      <c r="AM370"/>
    </row>
    <row r="371" spans="2:39">
      <c r="B371" s="209"/>
      <c r="C371" s="209"/>
      <c r="I371"/>
      <c r="J371"/>
      <c r="K371"/>
      <c r="L371"/>
      <c r="M371"/>
      <c r="N371"/>
      <c r="Q371"/>
      <c r="R371"/>
      <c r="S371"/>
      <c r="T371"/>
      <c r="U371"/>
      <c r="V371"/>
      <c r="W371"/>
      <c r="X371"/>
      <c r="Y371"/>
      <c r="Z371"/>
      <c r="AA371"/>
      <c r="AB371"/>
      <c r="AC371"/>
      <c r="AD371"/>
      <c r="AE371"/>
      <c r="AF371"/>
      <c r="AG371"/>
      <c r="AH371"/>
      <c r="AI371"/>
      <c r="AJ371"/>
      <c r="AK371"/>
      <c r="AL371"/>
      <c r="AM371"/>
    </row>
    <row r="372" spans="2:39">
      <c r="B372" s="209"/>
      <c r="C372" s="209"/>
      <c r="I372"/>
      <c r="J372"/>
      <c r="K372"/>
      <c r="L372"/>
      <c r="M372"/>
      <c r="N372"/>
      <c r="Q372"/>
      <c r="R372"/>
      <c r="S372"/>
      <c r="T372"/>
      <c r="U372"/>
      <c r="V372"/>
      <c r="W372"/>
      <c r="X372"/>
      <c r="Y372"/>
      <c r="Z372"/>
      <c r="AA372"/>
      <c r="AB372"/>
      <c r="AC372"/>
      <c r="AD372"/>
      <c r="AE372"/>
      <c r="AF372"/>
      <c r="AG372"/>
      <c r="AH372"/>
      <c r="AI372"/>
      <c r="AJ372"/>
      <c r="AK372"/>
      <c r="AL372"/>
      <c r="AM372"/>
    </row>
    <row r="373" spans="2:39">
      <c r="B373" s="209"/>
      <c r="C373" s="209"/>
      <c r="I373"/>
      <c r="J373"/>
      <c r="K373"/>
      <c r="L373"/>
      <c r="M373"/>
      <c r="N373"/>
      <c r="Q373"/>
      <c r="R373"/>
      <c r="S373"/>
      <c r="T373"/>
      <c r="U373"/>
      <c r="V373"/>
      <c r="W373"/>
      <c r="X373"/>
      <c r="Y373"/>
      <c r="Z373"/>
      <c r="AA373"/>
      <c r="AB373"/>
      <c r="AC373"/>
      <c r="AD373"/>
      <c r="AE373"/>
      <c r="AF373"/>
      <c r="AG373"/>
      <c r="AH373"/>
      <c r="AI373"/>
      <c r="AJ373"/>
      <c r="AK373"/>
      <c r="AL373"/>
      <c r="AM373"/>
    </row>
    <row r="374" spans="2:39">
      <c r="B374" s="209"/>
      <c r="C374" s="209"/>
      <c r="I374"/>
      <c r="J374"/>
      <c r="K374"/>
      <c r="L374"/>
      <c r="M374"/>
      <c r="N374"/>
      <c r="Q374"/>
      <c r="R374"/>
      <c r="S374"/>
      <c r="T374"/>
      <c r="U374"/>
      <c r="V374"/>
      <c r="W374"/>
      <c r="X374"/>
      <c r="Y374"/>
      <c r="Z374"/>
      <c r="AA374"/>
      <c r="AB374"/>
      <c r="AC374"/>
      <c r="AD374"/>
      <c r="AE374"/>
      <c r="AF374"/>
      <c r="AG374"/>
      <c r="AH374"/>
      <c r="AI374"/>
      <c r="AJ374"/>
      <c r="AK374"/>
      <c r="AL374"/>
      <c r="AM374"/>
    </row>
    <row r="375" spans="2:39">
      <c r="B375" s="209"/>
      <c r="C375" s="209"/>
      <c r="I375"/>
      <c r="J375"/>
      <c r="K375"/>
      <c r="L375"/>
      <c r="M375"/>
      <c r="N375"/>
      <c r="Q375"/>
      <c r="R375"/>
      <c r="S375"/>
      <c r="T375"/>
      <c r="U375"/>
      <c r="V375"/>
      <c r="W375"/>
      <c r="X375"/>
      <c r="Y375"/>
      <c r="Z375"/>
      <c r="AA375"/>
      <c r="AB375"/>
      <c r="AC375"/>
      <c r="AD375"/>
      <c r="AE375"/>
      <c r="AF375"/>
      <c r="AG375"/>
      <c r="AH375"/>
      <c r="AI375"/>
      <c r="AJ375"/>
      <c r="AK375"/>
      <c r="AL375"/>
      <c r="AM375"/>
    </row>
    <row r="376" spans="2:39">
      <c r="B376" s="209"/>
      <c r="C376" s="209"/>
      <c r="I376"/>
      <c r="J376"/>
      <c r="K376"/>
      <c r="L376"/>
      <c r="M376"/>
      <c r="N376"/>
      <c r="Q376"/>
      <c r="R376"/>
      <c r="S376"/>
      <c r="T376"/>
      <c r="U376"/>
      <c r="V376"/>
      <c r="W376"/>
      <c r="X376"/>
      <c r="Y376"/>
      <c r="Z376"/>
      <c r="AA376"/>
      <c r="AB376"/>
      <c r="AC376"/>
      <c r="AD376"/>
      <c r="AE376"/>
      <c r="AF376"/>
      <c r="AG376"/>
      <c r="AH376"/>
      <c r="AI376"/>
      <c r="AJ376"/>
      <c r="AK376"/>
      <c r="AL376"/>
      <c r="AM376"/>
    </row>
    <row r="377" spans="2:39">
      <c r="B377" s="209"/>
      <c r="C377" s="209"/>
      <c r="I377"/>
      <c r="J377"/>
      <c r="K377"/>
      <c r="L377"/>
      <c r="M377"/>
      <c r="N377"/>
      <c r="Q377"/>
      <c r="R377"/>
      <c r="S377"/>
      <c r="T377"/>
      <c r="U377"/>
      <c r="V377"/>
      <c r="W377"/>
      <c r="X377"/>
      <c r="Y377"/>
      <c r="Z377"/>
      <c r="AA377"/>
      <c r="AB377"/>
      <c r="AC377"/>
      <c r="AD377"/>
      <c r="AE377"/>
      <c r="AF377"/>
      <c r="AG377"/>
      <c r="AH377"/>
      <c r="AI377"/>
      <c r="AJ377"/>
      <c r="AK377"/>
      <c r="AL377"/>
      <c r="AM377"/>
    </row>
    <row r="378" spans="2:39">
      <c r="B378" s="209"/>
      <c r="C378" s="209"/>
      <c r="I378"/>
      <c r="J378"/>
      <c r="K378"/>
      <c r="L378"/>
      <c r="M378"/>
      <c r="N378"/>
      <c r="Q378"/>
      <c r="R378"/>
      <c r="S378"/>
      <c r="T378"/>
      <c r="U378"/>
      <c r="V378"/>
      <c r="W378"/>
      <c r="X378"/>
      <c r="Y378"/>
      <c r="Z378"/>
      <c r="AA378"/>
      <c r="AB378"/>
      <c r="AC378"/>
      <c r="AD378"/>
      <c r="AE378"/>
      <c r="AF378"/>
      <c r="AG378"/>
      <c r="AH378"/>
      <c r="AI378"/>
      <c r="AJ378"/>
      <c r="AK378"/>
      <c r="AL378"/>
      <c r="AM378"/>
    </row>
    <row r="379" spans="2:39">
      <c r="B379" s="209"/>
      <c r="C379" s="209"/>
      <c r="I379"/>
      <c r="J379"/>
      <c r="K379"/>
      <c r="L379"/>
      <c r="M379"/>
      <c r="N379"/>
      <c r="Q379"/>
      <c r="R379"/>
      <c r="S379"/>
      <c r="T379"/>
      <c r="U379"/>
      <c r="V379"/>
      <c r="W379"/>
      <c r="X379"/>
      <c r="Y379"/>
      <c r="Z379"/>
      <c r="AA379"/>
      <c r="AB379"/>
      <c r="AC379"/>
      <c r="AD379"/>
      <c r="AE379"/>
      <c r="AF379"/>
      <c r="AG379"/>
      <c r="AH379"/>
      <c r="AI379"/>
      <c r="AJ379"/>
      <c r="AK379"/>
      <c r="AL379"/>
      <c r="AM379"/>
    </row>
    <row r="380" spans="2:39">
      <c r="B380" s="209"/>
      <c r="C380" s="209"/>
      <c r="I380"/>
      <c r="J380"/>
      <c r="K380"/>
      <c r="L380"/>
      <c r="M380"/>
      <c r="N380"/>
      <c r="Q380"/>
      <c r="R380"/>
      <c r="S380"/>
      <c r="T380"/>
      <c r="U380"/>
      <c r="V380"/>
      <c r="W380"/>
      <c r="X380"/>
      <c r="Y380"/>
      <c r="Z380"/>
      <c r="AA380"/>
      <c r="AB380"/>
      <c r="AC380"/>
      <c r="AD380"/>
      <c r="AE380"/>
      <c r="AF380"/>
      <c r="AG380"/>
      <c r="AH380"/>
      <c r="AI380"/>
      <c r="AJ380"/>
      <c r="AK380"/>
      <c r="AL380"/>
      <c r="AM380"/>
    </row>
    <row r="381" spans="2:39">
      <c r="B381" s="209"/>
      <c r="C381" s="209"/>
      <c r="I381"/>
      <c r="J381"/>
      <c r="K381"/>
      <c r="L381"/>
      <c r="M381"/>
      <c r="N381"/>
      <c r="Q381"/>
      <c r="R381"/>
      <c r="S381"/>
      <c r="T381"/>
      <c r="U381"/>
      <c r="V381"/>
      <c r="W381"/>
      <c r="X381"/>
      <c r="Y381"/>
      <c r="Z381"/>
      <c r="AA381"/>
      <c r="AB381"/>
      <c r="AC381"/>
      <c r="AD381"/>
      <c r="AE381"/>
      <c r="AF381"/>
      <c r="AG381"/>
      <c r="AH381"/>
      <c r="AI381"/>
      <c r="AJ381"/>
      <c r="AK381"/>
      <c r="AL381"/>
      <c r="AM381"/>
    </row>
    <row r="382" spans="2:39">
      <c r="B382" s="209"/>
      <c r="C382" s="209"/>
      <c r="I382"/>
      <c r="J382"/>
      <c r="K382"/>
      <c r="L382"/>
      <c r="M382"/>
      <c r="N382"/>
      <c r="Q382"/>
      <c r="R382"/>
      <c r="S382"/>
      <c r="T382"/>
      <c r="U382"/>
      <c r="V382"/>
      <c r="W382"/>
      <c r="X382"/>
      <c r="Y382"/>
      <c r="Z382"/>
      <c r="AA382"/>
      <c r="AB382"/>
      <c r="AC382"/>
      <c r="AD382"/>
      <c r="AE382"/>
      <c r="AF382"/>
      <c r="AG382"/>
      <c r="AH382"/>
      <c r="AI382"/>
      <c r="AJ382"/>
      <c r="AK382"/>
      <c r="AL382"/>
      <c r="AM382"/>
    </row>
    <row r="383" spans="2:39">
      <c r="B383" s="209"/>
      <c r="C383" s="209"/>
      <c r="I383"/>
      <c r="J383"/>
      <c r="K383"/>
      <c r="L383"/>
      <c r="M383"/>
      <c r="N383"/>
      <c r="Q383"/>
      <c r="R383"/>
      <c r="S383"/>
      <c r="T383"/>
      <c r="U383"/>
      <c r="V383"/>
      <c r="W383"/>
      <c r="X383"/>
      <c r="Y383"/>
      <c r="Z383"/>
      <c r="AA383"/>
      <c r="AB383"/>
      <c r="AC383"/>
      <c r="AD383"/>
      <c r="AE383"/>
      <c r="AF383"/>
      <c r="AG383"/>
      <c r="AH383"/>
      <c r="AI383"/>
      <c r="AJ383"/>
      <c r="AK383"/>
      <c r="AL383"/>
      <c r="AM383"/>
    </row>
    <row r="384" spans="2:39">
      <c r="B384" s="209"/>
      <c r="C384" s="209"/>
      <c r="I384"/>
      <c r="J384"/>
      <c r="K384"/>
      <c r="L384"/>
      <c r="M384"/>
      <c r="N384"/>
      <c r="Q384"/>
      <c r="R384"/>
      <c r="S384"/>
      <c r="T384"/>
      <c r="U384"/>
      <c r="V384"/>
      <c r="W384"/>
      <c r="X384"/>
      <c r="Y384"/>
      <c r="Z384"/>
      <c r="AA384"/>
      <c r="AB384"/>
      <c r="AC384"/>
      <c r="AD384"/>
      <c r="AE384"/>
      <c r="AF384"/>
      <c r="AG384"/>
      <c r="AH384"/>
      <c r="AI384"/>
      <c r="AJ384"/>
      <c r="AK384"/>
      <c r="AL384"/>
      <c r="AM384"/>
    </row>
    <row r="385" spans="2:39">
      <c r="B385" s="209"/>
      <c r="C385" s="209"/>
      <c r="I385"/>
      <c r="J385"/>
      <c r="K385"/>
      <c r="L385"/>
      <c r="M385"/>
      <c r="N385"/>
      <c r="Q385"/>
      <c r="R385"/>
      <c r="S385"/>
      <c r="T385"/>
      <c r="U385"/>
      <c r="V385"/>
      <c r="W385"/>
      <c r="X385"/>
      <c r="Y385"/>
      <c r="Z385"/>
      <c r="AA385"/>
      <c r="AB385"/>
      <c r="AC385"/>
      <c r="AD385"/>
      <c r="AE385"/>
      <c r="AF385"/>
      <c r="AG385"/>
      <c r="AH385"/>
      <c r="AI385"/>
      <c r="AJ385"/>
      <c r="AK385"/>
      <c r="AL385"/>
      <c r="AM385"/>
    </row>
    <row r="386" spans="2:39">
      <c r="B386" s="209"/>
      <c r="C386" s="209"/>
      <c r="I386"/>
      <c r="J386"/>
      <c r="K386"/>
      <c r="L386"/>
      <c r="M386"/>
      <c r="N386"/>
      <c r="Q386"/>
      <c r="R386"/>
      <c r="S386"/>
      <c r="T386"/>
      <c r="U386"/>
      <c r="V386"/>
      <c r="W386"/>
      <c r="X386"/>
      <c r="Y386"/>
      <c r="Z386"/>
      <c r="AA386"/>
      <c r="AB386"/>
      <c r="AC386"/>
      <c r="AD386"/>
      <c r="AE386"/>
      <c r="AF386"/>
      <c r="AG386"/>
      <c r="AH386"/>
      <c r="AI386"/>
      <c r="AJ386"/>
      <c r="AK386"/>
      <c r="AL386"/>
      <c r="AM386"/>
    </row>
    <row r="387" spans="2:39">
      <c r="B387" s="209"/>
      <c r="C387" s="209"/>
      <c r="I387"/>
      <c r="J387"/>
      <c r="K387"/>
      <c r="L387"/>
      <c r="M387"/>
      <c r="N387"/>
      <c r="Q387"/>
      <c r="R387"/>
      <c r="S387"/>
      <c r="T387"/>
      <c r="U387"/>
      <c r="V387"/>
      <c r="W387"/>
      <c r="X387"/>
      <c r="Y387"/>
      <c r="Z387"/>
      <c r="AA387"/>
      <c r="AB387"/>
      <c r="AC387"/>
      <c r="AD387"/>
      <c r="AE387"/>
      <c r="AF387"/>
      <c r="AG387"/>
      <c r="AH387"/>
      <c r="AI387"/>
      <c r="AJ387"/>
      <c r="AK387"/>
      <c r="AL387"/>
      <c r="AM387"/>
    </row>
    <row r="388" spans="2:39">
      <c r="B388" s="209"/>
      <c r="C388" s="209"/>
      <c r="I388"/>
      <c r="J388"/>
      <c r="K388"/>
      <c r="L388"/>
      <c r="M388"/>
      <c r="N388"/>
      <c r="Q388"/>
      <c r="R388"/>
      <c r="S388"/>
      <c r="T388"/>
      <c r="U388"/>
      <c r="V388"/>
      <c r="W388"/>
      <c r="X388"/>
      <c r="Y388"/>
      <c r="Z388"/>
      <c r="AA388"/>
      <c r="AB388"/>
      <c r="AC388"/>
      <c r="AD388"/>
      <c r="AE388"/>
      <c r="AF388"/>
      <c r="AG388"/>
      <c r="AH388"/>
      <c r="AI388"/>
      <c r="AJ388"/>
      <c r="AK388"/>
      <c r="AL388"/>
      <c r="AM388"/>
    </row>
    <row r="389" spans="2:39">
      <c r="B389" s="209"/>
      <c r="C389" s="209"/>
      <c r="I389"/>
      <c r="J389"/>
      <c r="K389"/>
      <c r="L389"/>
      <c r="M389"/>
      <c r="N389"/>
      <c r="Q389"/>
      <c r="R389"/>
      <c r="S389"/>
      <c r="T389"/>
      <c r="U389"/>
      <c r="V389"/>
      <c r="W389"/>
      <c r="X389"/>
      <c r="Y389"/>
      <c r="Z389"/>
      <c r="AA389"/>
      <c r="AB389"/>
      <c r="AC389"/>
      <c r="AD389"/>
      <c r="AE389"/>
      <c r="AF389"/>
      <c r="AG389"/>
      <c r="AH389"/>
      <c r="AI389"/>
      <c r="AJ389"/>
      <c r="AK389"/>
      <c r="AL389"/>
      <c r="AM389"/>
    </row>
    <row r="390" spans="2:39">
      <c r="B390" s="209"/>
      <c r="C390" s="209"/>
      <c r="I390"/>
      <c r="J390"/>
      <c r="K390"/>
      <c r="L390"/>
      <c r="M390"/>
      <c r="N390"/>
      <c r="Q390"/>
      <c r="R390"/>
      <c r="S390"/>
      <c r="T390"/>
      <c r="U390"/>
      <c r="V390"/>
      <c r="W390"/>
      <c r="X390"/>
      <c r="Y390"/>
      <c r="Z390"/>
      <c r="AA390"/>
      <c r="AB390"/>
      <c r="AC390"/>
      <c r="AD390"/>
      <c r="AE390"/>
      <c r="AF390"/>
      <c r="AG390"/>
      <c r="AH390"/>
      <c r="AI390"/>
      <c r="AJ390"/>
      <c r="AK390"/>
      <c r="AL390"/>
      <c r="AM390"/>
    </row>
    <row r="391" spans="2:39">
      <c r="B391" s="209"/>
      <c r="C391" s="209"/>
      <c r="I391"/>
      <c r="J391"/>
      <c r="K391"/>
      <c r="L391"/>
      <c r="M391"/>
      <c r="N391"/>
      <c r="Q391"/>
      <c r="R391"/>
      <c r="S391"/>
      <c r="T391"/>
      <c r="U391"/>
      <c r="V391"/>
      <c r="W391"/>
      <c r="X391"/>
      <c r="Y391"/>
      <c r="Z391"/>
      <c r="AA391"/>
      <c r="AB391"/>
      <c r="AC391"/>
      <c r="AD391"/>
      <c r="AE391"/>
      <c r="AF391"/>
      <c r="AG391"/>
      <c r="AH391"/>
      <c r="AI391"/>
      <c r="AJ391"/>
      <c r="AK391"/>
      <c r="AL391"/>
      <c r="AM391"/>
    </row>
    <row r="392" spans="2:39">
      <c r="B392" s="209"/>
      <c r="C392" s="209"/>
      <c r="I392"/>
      <c r="J392"/>
      <c r="K392"/>
      <c r="L392"/>
      <c r="M392"/>
      <c r="N392"/>
      <c r="Q392"/>
      <c r="R392"/>
      <c r="S392"/>
      <c r="T392"/>
      <c r="U392"/>
      <c r="V392"/>
      <c r="W392"/>
      <c r="X392"/>
      <c r="Y392"/>
      <c r="Z392"/>
      <c r="AA392"/>
      <c r="AB392"/>
      <c r="AC392"/>
      <c r="AD392"/>
      <c r="AE392"/>
      <c r="AF392"/>
      <c r="AG392"/>
      <c r="AH392"/>
      <c r="AI392"/>
      <c r="AJ392"/>
      <c r="AK392"/>
      <c r="AL392"/>
      <c r="AM392"/>
    </row>
    <row r="393" spans="2:39">
      <c r="B393" s="209"/>
      <c r="C393" s="209"/>
      <c r="I393"/>
      <c r="J393"/>
      <c r="K393"/>
      <c r="L393"/>
      <c r="M393"/>
      <c r="N393"/>
      <c r="Q393"/>
      <c r="R393"/>
      <c r="S393"/>
      <c r="T393"/>
      <c r="U393"/>
      <c r="V393"/>
      <c r="W393"/>
      <c r="X393"/>
      <c r="Y393"/>
      <c r="Z393"/>
      <c r="AA393"/>
      <c r="AB393"/>
      <c r="AC393"/>
      <c r="AD393"/>
      <c r="AE393"/>
      <c r="AF393"/>
      <c r="AG393"/>
      <c r="AH393"/>
      <c r="AI393"/>
      <c r="AJ393"/>
      <c r="AK393"/>
      <c r="AL393"/>
      <c r="AM393"/>
    </row>
    <row r="394" spans="2:39">
      <c r="B394" s="209"/>
      <c r="C394" s="209"/>
      <c r="I394"/>
      <c r="J394"/>
      <c r="K394"/>
      <c r="L394"/>
      <c r="M394"/>
      <c r="N394"/>
      <c r="Q394"/>
      <c r="R394"/>
      <c r="S394"/>
      <c r="T394"/>
      <c r="U394"/>
      <c r="V394"/>
      <c r="W394"/>
      <c r="X394"/>
      <c r="Y394"/>
      <c r="Z394"/>
      <c r="AA394"/>
      <c r="AB394"/>
      <c r="AC394"/>
      <c r="AD394"/>
      <c r="AE394"/>
      <c r="AF394"/>
      <c r="AG394"/>
      <c r="AH394"/>
      <c r="AI394"/>
      <c r="AJ394"/>
      <c r="AK394"/>
      <c r="AL394"/>
      <c r="AM394"/>
    </row>
    <row r="395" spans="2:39">
      <c r="B395" s="209"/>
      <c r="C395" s="209"/>
      <c r="I395"/>
      <c r="J395"/>
      <c r="K395"/>
      <c r="L395"/>
      <c r="M395"/>
      <c r="N395"/>
      <c r="Q395"/>
      <c r="R395"/>
      <c r="S395"/>
      <c r="T395"/>
      <c r="U395"/>
      <c r="V395"/>
      <c r="W395"/>
      <c r="X395"/>
      <c r="Y395"/>
      <c r="Z395"/>
      <c r="AA395"/>
      <c r="AB395"/>
      <c r="AC395"/>
      <c r="AD395"/>
      <c r="AE395"/>
      <c r="AF395"/>
      <c r="AG395"/>
      <c r="AH395"/>
      <c r="AI395"/>
      <c r="AJ395"/>
      <c r="AK395"/>
      <c r="AL395"/>
      <c r="AM395"/>
    </row>
    <row r="396" spans="2:39">
      <c r="B396" s="209"/>
      <c r="C396" s="209"/>
      <c r="I396"/>
      <c r="J396"/>
      <c r="K396"/>
      <c r="L396"/>
      <c r="M396"/>
      <c r="N396"/>
      <c r="Q396"/>
      <c r="R396"/>
      <c r="S396"/>
      <c r="T396"/>
      <c r="U396"/>
      <c r="V396"/>
      <c r="W396"/>
      <c r="X396"/>
      <c r="Y396"/>
      <c r="Z396"/>
      <c r="AA396"/>
      <c r="AB396"/>
      <c r="AC396"/>
      <c r="AD396"/>
      <c r="AE396"/>
      <c r="AF396"/>
      <c r="AG396"/>
      <c r="AH396"/>
      <c r="AI396"/>
      <c r="AJ396"/>
      <c r="AK396"/>
      <c r="AL396"/>
      <c r="AM396"/>
    </row>
    <row r="397" spans="2:39">
      <c r="B397" s="209"/>
      <c r="C397" s="209"/>
      <c r="I397"/>
      <c r="J397"/>
      <c r="K397"/>
      <c r="L397"/>
      <c r="M397"/>
      <c r="N397"/>
      <c r="Q397"/>
      <c r="R397"/>
      <c r="S397"/>
      <c r="T397"/>
      <c r="U397"/>
      <c r="V397"/>
      <c r="W397"/>
      <c r="X397"/>
      <c r="Y397"/>
      <c r="Z397"/>
      <c r="AA397"/>
      <c r="AB397"/>
      <c r="AC397"/>
      <c r="AD397"/>
      <c r="AE397"/>
      <c r="AF397"/>
      <c r="AG397"/>
      <c r="AH397"/>
      <c r="AI397"/>
      <c r="AJ397"/>
      <c r="AK397"/>
      <c r="AL397"/>
      <c r="AM397"/>
    </row>
    <row r="398" spans="2:39">
      <c r="B398" s="209"/>
      <c r="C398" s="209"/>
      <c r="I398"/>
      <c r="J398"/>
      <c r="K398"/>
      <c r="L398"/>
      <c r="M398"/>
      <c r="N398"/>
      <c r="Q398"/>
      <c r="R398"/>
      <c r="S398"/>
      <c r="T398"/>
      <c r="U398"/>
      <c r="V398"/>
      <c r="W398"/>
      <c r="X398"/>
      <c r="Y398"/>
      <c r="Z398"/>
      <c r="AA398"/>
      <c r="AB398"/>
      <c r="AC398"/>
      <c r="AD398"/>
      <c r="AE398"/>
      <c r="AF398"/>
      <c r="AG398"/>
      <c r="AH398"/>
      <c r="AI398"/>
      <c r="AJ398"/>
      <c r="AK398"/>
      <c r="AL398"/>
      <c r="AM398"/>
    </row>
    <row r="399" spans="2:39">
      <c r="B399" s="209"/>
      <c r="C399" s="209"/>
      <c r="I399"/>
      <c r="J399"/>
      <c r="K399"/>
      <c r="L399"/>
      <c r="M399"/>
      <c r="N399"/>
      <c r="Q399"/>
      <c r="R399"/>
      <c r="S399"/>
      <c r="T399"/>
      <c r="U399"/>
      <c r="V399"/>
      <c r="W399"/>
      <c r="X399"/>
      <c r="Y399"/>
      <c r="Z399"/>
      <c r="AA399"/>
      <c r="AB399"/>
      <c r="AC399"/>
      <c r="AD399"/>
      <c r="AE399"/>
      <c r="AF399"/>
      <c r="AG399"/>
      <c r="AH399"/>
      <c r="AI399"/>
      <c r="AJ399"/>
      <c r="AK399"/>
      <c r="AL399"/>
      <c r="AM399"/>
    </row>
    <row r="400" spans="2:39">
      <c r="B400" s="209"/>
      <c r="C400" s="209"/>
      <c r="I400"/>
      <c r="J400"/>
      <c r="K400"/>
      <c r="L400"/>
      <c r="M400"/>
      <c r="N400"/>
      <c r="Q400"/>
      <c r="R400"/>
      <c r="S400"/>
      <c r="T400"/>
      <c r="U400"/>
      <c r="V400"/>
      <c r="W400"/>
      <c r="X400"/>
      <c r="Y400"/>
      <c r="Z400"/>
      <c r="AA400"/>
      <c r="AB400"/>
      <c r="AC400"/>
      <c r="AD400"/>
      <c r="AE400"/>
      <c r="AF400"/>
      <c r="AG400"/>
      <c r="AH400"/>
      <c r="AI400"/>
      <c r="AJ400"/>
      <c r="AK400"/>
      <c r="AL400"/>
      <c r="AM400"/>
    </row>
    <row r="401" spans="2:39">
      <c r="B401" s="209"/>
      <c r="C401" s="209"/>
      <c r="I401"/>
      <c r="J401"/>
      <c r="K401"/>
      <c r="L401"/>
      <c r="M401"/>
      <c r="N401"/>
      <c r="Q401"/>
      <c r="R401"/>
      <c r="S401"/>
      <c r="T401"/>
      <c r="U401"/>
      <c r="V401"/>
      <c r="W401"/>
      <c r="X401"/>
      <c r="Y401"/>
      <c r="Z401"/>
      <c r="AA401"/>
      <c r="AB401"/>
      <c r="AC401"/>
      <c r="AD401"/>
      <c r="AE401"/>
      <c r="AF401"/>
      <c r="AG401"/>
      <c r="AH401"/>
      <c r="AI401"/>
      <c r="AJ401"/>
      <c r="AK401"/>
      <c r="AL401"/>
      <c r="AM401"/>
    </row>
    <row r="402" spans="2:39">
      <c r="B402" s="209"/>
      <c r="C402" s="209"/>
      <c r="I402"/>
      <c r="J402"/>
      <c r="K402"/>
      <c r="L402"/>
      <c r="M402"/>
      <c r="N402"/>
      <c r="Q402"/>
      <c r="R402"/>
      <c r="S402"/>
      <c r="T402"/>
      <c r="U402"/>
      <c r="V402"/>
      <c r="W402"/>
      <c r="X402"/>
      <c r="Y402"/>
      <c r="Z402"/>
      <c r="AA402"/>
      <c r="AB402"/>
      <c r="AC402"/>
      <c r="AD402"/>
      <c r="AE402"/>
      <c r="AF402"/>
      <c r="AG402"/>
      <c r="AH402"/>
      <c r="AI402"/>
      <c r="AJ402"/>
      <c r="AK402"/>
      <c r="AL402"/>
      <c r="AM402"/>
    </row>
    <row r="403" spans="2:39">
      <c r="B403" s="209"/>
      <c r="C403" s="209"/>
      <c r="I403"/>
      <c r="J403"/>
      <c r="K403"/>
      <c r="L403"/>
      <c r="M403"/>
      <c r="N403"/>
      <c r="Q403"/>
      <c r="R403"/>
      <c r="S403"/>
      <c r="T403"/>
      <c r="U403"/>
      <c r="V403"/>
      <c r="W403"/>
      <c r="X403"/>
      <c r="Y403"/>
      <c r="Z403"/>
      <c r="AA403"/>
      <c r="AB403"/>
      <c r="AC403"/>
      <c r="AD403"/>
      <c r="AE403"/>
      <c r="AF403"/>
      <c r="AG403"/>
      <c r="AH403"/>
      <c r="AI403"/>
      <c r="AJ403"/>
      <c r="AK403"/>
      <c r="AL403"/>
      <c r="AM403"/>
    </row>
    <row r="404" spans="2:39">
      <c r="B404" s="209"/>
      <c r="C404" s="209"/>
      <c r="I404"/>
      <c r="J404"/>
      <c r="K404"/>
      <c r="L404"/>
      <c r="M404"/>
      <c r="N404"/>
      <c r="Q404"/>
      <c r="R404"/>
      <c r="S404"/>
      <c r="T404"/>
      <c r="U404"/>
      <c r="V404"/>
      <c r="W404"/>
      <c r="X404"/>
      <c r="Y404"/>
      <c r="Z404"/>
      <c r="AA404"/>
      <c r="AB404"/>
      <c r="AC404"/>
      <c r="AD404"/>
      <c r="AE404"/>
      <c r="AF404"/>
      <c r="AG404"/>
      <c r="AH404"/>
      <c r="AI404"/>
      <c r="AJ404"/>
      <c r="AK404"/>
      <c r="AL404"/>
      <c r="AM404"/>
    </row>
    <row r="405" spans="2:39">
      <c r="B405" s="209"/>
      <c r="C405" s="209"/>
      <c r="I405"/>
      <c r="J405"/>
      <c r="K405"/>
      <c r="L405"/>
      <c r="M405"/>
      <c r="N405"/>
      <c r="Q405"/>
      <c r="R405"/>
      <c r="S405"/>
      <c r="T405"/>
      <c r="U405"/>
      <c r="V405"/>
      <c r="W405"/>
      <c r="X405"/>
      <c r="Y405"/>
      <c r="Z405"/>
      <c r="AA405"/>
      <c r="AB405"/>
      <c r="AC405"/>
      <c r="AD405"/>
      <c r="AE405"/>
      <c r="AF405"/>
      <c r="AG405"/>
      <c r="AH405"/>
      <c r="AI405"/>
      <c r="AJ405"/>
      <c r="AK405"/>
      <c r="AL405"/>
      <c r="AM405"/>
    </row>
    <row r="406" spans="2:39">
      <c r="B406" s="209"/>
      <c r="C406" s="209"/>
      <c r="I406"/>
      <c r="J406"/>
      <c r="K406"/>
      <c r="L406"/>
      <c r="M406"/>
      <c r="N406"/>
      <c r="Q406"/>
      <c r="R406"/>
      <c r="S406"/>
      <c r="T406"/>
      <c r="U406"/>
      <c r="V406"/>
      <c r="W406"/>
      <c r="X406"/>
      <c r="Y406"/>
      <c r="Z406"/>
      <c r="AA406"/>
      <c r="AB406"/>
      <c r="AC406"/>
      <c r="AD406"/>
      <c r="AE406"/>
      <c r="AF406"/>
      <c r="AG406"/>
      <c r="AH406"/>
      <c r="AI406"/>
      <c r="AJ406"/>
      <c r="AK406"/>
      <c r="AL406"/>
      <c r="AM406"/>
    </row>
    <row r="407" spans="2:39">
      <c r="B407" s="209"/>
      <c r="C407" s="209"/>
      <c r="I407"/>
      <c r="J407"/>
      <c r="K407"/>
      <c r="L407"/>
      <c r="M407"/>
      <c r="N407"/>
      <c r="Q407"/>
      <c r="R407"/>
      <c r="S407"/>
      <c r="T407"/>
      <c r="U407"/>
      <c r="V407"/>
      <c r="W407"/>
      <c r="X407"/>
      <c r="Y407"/>
      <c r="Z407"/>
      <c r="AA407"/>
      <c r="AB407"/>
      <c r="AC407"/>
      <c r="AD407"/>
      <c r="AE407"/>
      <c r="AF407"/>
      <c r="AG407"/>
      <c r="AH407"/>
      <c r="AI407"/>
      <c r="AJ407"/>
      <c r="AK407"/>
      <c r="AL407"/>
      <c r="AM407"/>
    </row>
    <row r="408" spans="2:39">
      <c r="B408" s="209"/>
      <c r="C408" s="209"/>
      <c r="I408"/>
      <c r="J408"/>
      <c r="K408"/>
      <c r="L408"/>
      <c r="M408"/>
      <c r="N408"/>
      <c r="Q408"/>
      <c r="R408"/>
      <c r="S408"/>
      <c r="T408"/>
      <c r="U408"/>
      <c r="V408"/>
      <c r="W408"/>
      <c r="X408"/>
      <c r="Y408"/>
      <c r="Z408"/>
      <c r="AA408"/>
      <c r="AB408"/>
      <c r="AC408"/>
      <c r="AD408"/>
      <c r="AE408"/>
      <c r="AF408"/>
      <c r="AG408"/>
      <c r="AH408"/>
      <c r="AI408"/>
      <c r="AJ408"/>
      <c r="AK408"/>
      <c r="AL408"/>
      <c r="AM408"/>
    </row>
    <row r="409" spans="2:39">
      <c r="B409" s="209"/>
      <c r="C409" s="209"/>
      <c r="I409"/>
      <c r="J409"/>
      <c r="K409"/>
      <c r="L409"/>
      <c r="M409"/>
      <c r="N409"/>
      <c r="Q409"/>
      <c r="R409"/>
      <c r="S409"/>
      <c r="T409"/>
      <c r="U409"/>
      <c r="V409"/>
      <c r="W409"/>
      <c r="X409"/>
      <c r="Y409"/>
      <c r="Z409"/>
      <c r="AA409"/>
      <c r="AB409"/>
      <c r="AC409"/>
      <c r="AD409"/>
      <c r="AE409"/>
      <c r="AF409"/>
      <c r="AG409"/>
      <c r="AH409"/>
      <c r="AI409"/>
      <c r="AJ409"/>
      <c r="AK409"/>
      <c r="AL409"/>
      <c r="AM409"/>
    </row>
    <row r="410" spans="2:39">
      <c r="B410" s="209"/>
      <c r="C410" s="209"/>
      <c r="I410"/>
      <c r="J410"/>
      <c r="K410"/>
      <c r="L410"/>
      <c r="M410"/>
      <c r="N410"/>
      <c r="Q410"/>
      <c r="R410"/>
      <c r="S410"/>
      <c r="T410"/>
      <c r="U410"/>
      <c r="V410"/>
      <c r="W410"/>
      <c r="X410"/>
      <c r="Y410"/>
      <c r="Z410"/>
      <c r="AA410"/>
      <c r="AB410"/>
      <c r="AC410"/>
      <c r="AD410"/>
      <c r="AE410"/>
      <c r="AF410"/>
      <c r="AG410"/>
      <c r="AH410"/>
      <c r="AI410"/>
      <c r="AJ410"/>
      <c r="AK410"/>
      <c r="AL410"/>
      <c r="AM410"/>
    </row>
    <row r="411" spans="2:39">
      <c r="B411" s="209"/>
      <c r="C411" s="209"/>
      <c r="I411"/>
      <c r="J411"/>
      <c r="K411"/>
      <c r="L411"/>
      <c r="M411"/>
      <c r="N411"/>
      <c r="Q411"/>
      <c r="R411"/>
      <c r="S411"/>
      <c r="T411"/>
      <c r="U411"/>
      <c r="V411"/>
      <c r="W411"/>
      <c r="X411"/>
      <c r="Y411"/>
      <c r="Z411"/>
      <c r="AA411"/>
      <c r="AB411"/>
      <c r="AC411"/>
      <c r="AD411"/>
      <c r="AE411"/>
      <c r="AF411"/>
      <c r="AG411"/>
      <c r="AH411"/>
      <c r="AI411"/>
      <c r="AJ411"/>
      <c r="AK411"/>
      <c r="AL411"/>
      <c r="AM411"/>
    </row>
    <row r="412" spans="2:39">
      <c r="B412" s="209"/>
      <c r="C412" s="209"/>
      <c r="I412"/>
      <c r="J412"/>
      <c r="K412"/>
      <c r="L412"/>
      <c r="M412"/>
      <c r="N412"/>
      <c r="Q412"/>
      <c r="R412"/>
      <c r="S412"/>
      <c r="T412"/>
      <c r="U412"/>
      <c r="V412"/>
      <c r="W412"/>
      <c r="X412"/>
      <c r="Y412"/>
      <c r="Z412"/>
      <c r="AA412"/>
      <c r="AB412"/>
      <c r="AC412"/>
      <c r="AD412"/>
      <c r="AE412"/>
      <c r="AF412"/>
      <c r="AG412"/>
      <c r="AH412"/>
      <c r="AI412"/>
      <c r="AJ412"/>
      <c r="AK412"/>
      <c r="AL412"/>
      <c r="AM412"/>
    </row>
    <row r="413" spans="2:39">
      <c r="B413" s="209"/>
      <c r="C413" s="209"/>
      <c r="I413"/>
      <c r="J413"/>
      <c r="K413"/>
      <c r="L413"/>
      <c r="M413"/>
      <c r="N413"/>
      <c r="Q413"/>
      <c r="R413"/>
      <c r="S413"/>
      <c r="T413"/>
      <c r="U413"/>
      <c r="V413"/>
      <c r="W413"/>
      <c r="X413"/>
      <c r="Y413"/>
      <c r="Z413"/>
      <c r="AA413"/>
      <c r="AB413"/>
      <c r="AC413"/>
      <c r="AD413"/>
      <c r="AE413"/>
      <c r="AF413"/>
      <c r="AG413"/>
      <c r="AH413"/>
      <c r="AI413"/>
      <c r="AJ413"/>
      <c r="AK413"/>
      <c r="AL413"/>
      <c r="AM413"/>
    </row>
    <row r="414" spans="2:39">
      <c r="B414" s="209"/>
      <c r="C414" s="209"/>
      <c r="I414"/>
      <c r="J414"/>
      <c r="K414"/>
      <c r="L414"/>
      <c r="M414"/>
      <c r="N414"/>
      <c r="Q414"/>
      <c r="R414"/>
      <c r="S414"/>
      <c r="T414"/>
      <c r="U414"/>
      <c r="V414"/>
      <c r="W414"/>
      <c r="X414"/>
      <c r="Y414"/>
      <c r="Z414"/>
      <c r="AA414"/>
      <c r="AB414"/>
      <c r="AC414"/>
      <c r="AD414"/>
      <c r="AE414"/>
      <c r="AF414"/>
      <c r="AG414"/>
      <c r="AH414"/>
      <c r="AI414"/>
      <c r="AJ414"/>
      <c r="AK414"/>
      <c r="AL414"/>
      <c r="AM414"/>
    </row>
    <row r="415" spans="2:39">
      <c r="B415" s="209"/>
      <c r="C415" s="209"/>
      <c r="I415"/>
      <c r="J415"/>
      <c r="K415"/>
      <c r="L415"/>
      <c r="M415"/>
      <c r="N415"/>
      <c r="Q415"/>
      <c r="R415"/>
      <c r="S415"/>
      <c r="T415"/>
      <c r="U415"/>
      <c r="V415"/>
      <c r="W415"/>
      <c r="X415"/>
      <c r="Y415"/>
      <c r="Z415"/>
      <c r="AA415"/>
      <c r="AB415"/>
      <c r="AC415"/>
      <c r="AD415"/>
      <c r="AE415"/>
      <c r="AF415"/>
      <c r="AG415"/>
      <c r="AH415"/>
      <c r="AI415"/>
      <c r="AJ415"/>
      <c r="AK415"/>
      <c r="AL415"/>
      <c r="AM415"/>
    </row>
    <row r="416" spans="2:39">
      <c r="B416" s="209"/>
      <c r="C416" s="209"/>
      <c r="I416"/>
      <c r="J416"/>
      <c r="K416"/>
      <c r="L416"/>
      <c r="M416"/>
      <c r="N416"/>
      <c r="Q416"/>
      <c r="R416"/>
      <c r="S416"/>
      <c r="T416"/>
      <c r="U416"/>
      <c r="V416"/>
      <c r="W416"/>
      <c r="X416"/>
      <c r="Y416"/>
      <c r="Z416"/>
      <c r="AA416"/>
      <c r="AB416"/>
      <c r="AC416"/>
      <c r="AD416"/>
      <c r="AE416"/>
      <c r="AF416"/>
      <c r="AG416"/>
      <c r="AH416"/>
      <c r="AI416"/>
      <c r="AJ416"/>
      <c r="AK416"/>
      <c r="AL416"/>
      <c r="AM416"/>
    </row>
    <row r="417" spans="2:39">
      <c r="B417" s="209"/>
      <c r="C417" s="209"/>
      <c r="I417"/>
      <c r="J417"/>
      <c r="K417"/>
      <c r="L417"/>
      <c r="M417"/>
      <c r="N417"/>
      <c r="Q417"/>
      <c r="R417"/>
      <c r="S417"/>
      <c r="T417"/>
      <c r="U417"/>
      <c r="V417"/>
      <c r="W417"/>
      <c r="X417"/>
      <c r="Y417"/>
      <c r="Z417"/>
      <c r="AA417"/>
      <c r="AB417"/>
      <c r="AC417"/>
      <c r="AD417"/>
      <c r="AE417"/>
      <c r="AF417"/>
      <c r="AG417"/>
      <c r="AH417"/>
      <c r="AI417"/>
      <c r="AJ417"/>
      <c r="AK417"/>
      <c r="AL417"/>
      <c r="AM417"/>
    </row>
    <row r="418" spans="2:39">
      <c r="B418" s="209"/>
      <c r="C418" s="209"/>
      <c r="I418"/>
      <c r="J418"/>
      <c r="K418"/>
      <c r="L418"/>
      <c r="M418"/>
      <c r="N418"/>
      <c r="Q418"/>
      <c r="R418"/>
      <c r="S418"/>
      <c r="T418"/>
      <c r="U418"/>
      <c r="V418"/>
      <c r="W418"/>
      <c r="X418"/>
      <c r="Y418"/>
      <c r="Z418"/>
      <c r="AA418"/>
      <c r="AB418"/>
      <c r="AC418"/>
      <c r="AD418"/>
      <c r="AE418"/>
      <c r="AF418"/>
      <c r="AG418"/>
      <c r="AH418"/>
      <c r="AI418"/>
      <c r="AJ418"/>
      <c r="AK418"/>
      <c r="AL418"/>
      <c r="AM418"/>
    </row>
    <row r="419" spans="2:39">
      <c r="B419" s="209"/>
      <c r="C419" s="209"/>
      <c r="I419"/>
      <c r="J419"/>
      <c r="K419"/>
      <c r="L419"/>
      <c r="M419"/>
      <c r="N419"/>
      <c r="Q419"/>
      <c r="R419"/>
      <c r="S419"/>
      <c r="T419"/>
      <c r="U419"/>
      <c r="V419"/>
      <c r="W419"/>
      <c r="X419"/>
      <c r="Y419"/>
      <c r="Z419"/>
      <c r="AA419"/>
      <c r="AB419"/>
      <c r="AC419"/>
      <c r="AD419"/>
      <c r="AE419"/>
      <c r="AF419"/>
      <c r="AG419"/>
      <c r="AH419"/>
      <c r="AI419"/>
      <c r="AJ419"/>
      <c r="AK419"/>
      <c r="AL419"/>
      <c r="AM419"/>
    </row>
    <row r="420" spans="2:39">
      <c r="B420" s="209"/>
      <c r="C420" s="209"/>
      <c r="I420"/>
      <c r="J420"/>
      <c r="K420"/>
      <c r="L420"/>
      <c r="M420"/>
      <c r="N420"/>
      <c r="Q420"/>
      <c r="R420"/>
      <c r="S420"/>
      <c r="T420"/>
      <c r="U420"/>
      <c r="V420"/>
      <c r="W420"/>
      <c r="X420"/>
      <c r="Y420"/>
      <c r="Z420"/>
      <c r="AA420"/>
      <c r="AB420"/>
      <c r="AC420"/>
      <c r="AD420"/>
      <c r="AE420"/>
      <c r="AF420"/>
      <c r="AG420"/>
      <c r="AH420"/>
      <c r="AI420"/>
      <c r="AJ420"/>
      <c r="AK420"/>
      <c r="AL420"/>
      <c r="AM420"/>
    </row>
    <row r="421" spans="2:39">
      <c r="B421" s="209"/>
      <c r="C421" s="209"/>
      <c r="I421"/>
      <c r="J421"/>
      <c r="K421"/>
      <c r="L421"/>
      <c r="M421"/>
      <c r="N421"/>
      <c r="Q421"/>
      <c r="R421"/>
      <c r="S421"/>
      <c r="T421"/>
      <c r="U421"/>
      <c r="V421"/>
      <c r="W421"/>
      <c r="X421"/>
      <c r="Y421"/>
      <c r="Z421"/>
      <c r="AA421"/>
      <c r="AB421"/>
      <c r="AC421"/>
      <c r="AD421"/>
      <c r="AE421"/>
      <c r="AF421"/>
      <c r="AG421"/>
      <c r="AH421"/>
      <c r="AI421"/>
      <c r="AJ421"/>
      <c r="AK421"/>
      <c r="AL421"/>
      <c r="AM421"/>
    </row>
    <row r="422" spans="2:39">
      <c r="B422" s="209"/>
      <c r="C422" s="209"/>
      <c r="I422"/>
      <c r="J422"/>
      <c r="K422"/>
      <c r="L422"/>
      <c r="M422"/>
      <c r="N422"/>
      <c r="Q422"/>
      <c r="R422"/>
      <c r="S422"/>
      <c r="T422"/>
      <c r="U422"/>
      <c r="V422"/>
      <c r="W422"/>
      <c r="X422"/>
      <c r="Y422"/>
      <c r="Z422"/>
      <c r="AA422"/>
      <c r="AB422"/>
      <c r="AC422"/>
      <c r="AD422"/>
      <c r="AE422"/>
      <c r="AF422"/>
      <c r="AG422"/>
      <c r="AH422"/>
      <c r="AI422"/>
      <c r="AJ422"/>
      <c r="AK422"/>
      <c r="AL422"/>
      <c r="AM422"/>
    </row>
    <row r="423" spans="2:39">
      <c r="B423" s="209"/>
      <c r="C423" s="209"/>
      <c r="I423"/>
      <c r="J423"/>
      <c r="K423"/>
      <c r="L423"/>
      <c r="M423"/>
      <c r="N423"/>
      <c r="Q423"/>
      <c r="R423"/>
      <c r="S423"/>
      <c r="T423"/>
      <c r="U423"/>
      <c r="V423"/>
      <c r="W423"/>
      <c r="X423"/>
      <c r="Y423"/>
      <c r="Z423"/>
      <c r="AA423"/>
      <c r="AB423"/>
      <c r="AC423"/>
      <c r="AD423"/>
      <c r="AE423"/>
      <c r="AF423"/>
      <c r="AG423"/>
      <c r="AH423"/>
      <c r="AI423"/>
      <c r="AJ423"/>
      <c r="AK423"/>
      <c r="AL423"/>
      <c r="AM423"/>
    </row>
    <row r="424" spans="2:39">
      <c r="B424" s="209"/>
      <c r="C424" s="209"/>
      <c r="I424"/>
      <c r="J424"/>
      <c r="K424"/>
      <c r="L424"/>
      <c r="M424"/>
      <c r="N424"/>
      <c r="Q424"/>
      <c r="R424"/>
      <c r="S424"/>
      <c r="T424"/>
      <c r="U424"/>
      <c r="V424"/>
      <c r="W424"/>
      <c r="X424"/>
      <c r="Y424"/>
      <c r="Z424"/>
      <c r="AA424"/>
      <c r="AB424"/>
      <c r="AC424"/>
      <c r="AD424"/>
      <c r="AE424"/>
      <c r="AF424"/>
      <c r="AG424"/>
      <c r="AH424"/>
      <c r="AI424"/>
      <c r="AJ424"/>
      <c r="AK424"/>
      <c r="AL424"/>
      <c r="AM424"/>
    </row>
    <row r="425" spans="2:39">
      <c r="B425" s="209"/>
      <c r="C425" s="209"/>
      <c r="I425"/>
      <c r="J425"/>
      <c r="K425"/>
      <c r="L425"/>
      <c r="M425"/>
      <c r="N425"/>
      <c r="Q425"/>
      <c r="R425"/>
      <c r="S425"/>
      <c r="T425"/>
      <c r="U425"/>
      <c r="V425"/>
      <c r="W425"/>
      <c r="X425"/>
      <c r="Y425"/>
      <c r="Z425"/>
      <c r="AA425"/>
      <c r="AB425"/>
      <c r="AC425"/>
      <c r="AD425"/>
      <c r="AE425"/>
      <c r="AF425"/>
      <c r="AG425"/>
      <c r="AH425"/>
      <c r="AI425"/>
      <c r="AJ425"/>
      <c r="AK425"/>
      <c r="AL425"/>
      <c r="AM425"/>
    </row>
    <row r="426" spans="2:39">
      <c r="B426" s="209"/>
      <c r="C426" s="209"/>
      <c r="I426"/>
      <c r="J426"/>
      <c r="K426"/>
      <c r="L426"/>
      <c r="M426"/>
      <c r="N426"/>
      <c r="Q426"/>
      <c r="R426"/>
      <c r="S426"/>
      <c r="T426"/>
      <c r="U426"/>
      <c r="V426"/>
      <c r="W426"/>
      <c r="X426"/>
      <c r="Y426"/>
      <c r="Z426"/>
      <c r="AA426"/>
      <c r="AB426"/>
      <c r="AC426"/>
      <c r="AD426"/>
      <c r="AE426"/>
      <c r="AF426"/>
      <c r="AG426"/>
      <c r="AH426"/>
      <c r="AI426"/>
      <c r="AJ426"/>
      <c r="AK426"/>
      <c r="AL426"/>
      <c r="AM426"/>
    </row>
    <row r="427" spans="2:39">
      <c r="B427" s="209"/>
      <c r="C427" s="209"/>
      <c r="I427"/>
      <c r="J427"/>
      <c r="K427"/>
      <c r="L427"/>
      <c r="M427"/>
      <c r="N427"/>
      <c r="Q427"/>
      <c r="R427"/>
      <c r="S427"/>
      <c r="T427"/>
      <c r="U427"/>
      <c r="V427"/>
      <c r="W427"/>
      <c r="X427"/>
      <c r="Y427"/>
      <c r="Z427"/>
      <c r="AA427"/>
      <c r="AB427"/>
      <c r="AC427"/>
      <c r="AD427"/>
      <c r="AE427"/>
      <c r="AF427"/>
      <c r="AG427"/>
      <c r="AH427"/>
      <c r="AI427"/>
      <c r="AJ427"/>
      <c r="AK427"/>
      <c r="AL427"/>
      <c r="AM427"/>
    </row>
    <row r="428" spans="2:39">
      <c r="B428" s="209"/>
      <c r="C428" s="209"/>
      <c r="I428"/>
      <c r="J428"/>
      <c r="K428"/>
      <c r="L428"/>
      <c r="M428"/>
      <c r="N428"/>
      <c r="Q428"/>
      <c r="R428"/>
      <c r="S428"/>
      <c r="T428"/>
      <c r="U428"/>
      <c r="V428"/>
      <c r="W428"/>
      <c r="X428"/>
      <c r="Y428"/>
      <c r="Z428"/>
      <c r="AA428"/>
      <c r="AB428"/>
      <c r="AC428"/>
      <c r="AD428"/>
      <c r="AE428"/>
      <c r="AF428"/>
      <c r="AG428"/>
      <c r="AH428"/>
      <c r="AI428"/>
      <c r="AJ428"/>
      <c r="AK428"/>
      <c r="AL428"/>
      <c r="AM428"/>
    </row>
    <row r="429" spans="2:39">
      <c r="B429" s="209"/>
      <c r="C429" s="209"/>
      <c r="I429"/>
      <c r="J429"/>
      <c r="K429"/>
      <c r="L429"/>
      <c r="M429"/>
      <c r="N429"/>
      <c r="Q429"/>
      <c r="R429"/>
      <c r="S429"/>
      <c r="T429"/>
      <c r="U429"/>
      <c r="V429"/>
      <c r="W429"/>
      <c r="X429"/>
      <c r="Y429"/>
      <c r="Z429"/>
      <c r="AA429"/>
      <c r="AB429"/>
      <c r="AC429"/>
      <c r="AD429"/>
      <c r="AE429"/>
      <c r="AF429"/>
      <c r="AG429"/>
      <c r="AH429"/>
      <c r="AI429"/>
      <c r="AJ429"/>
      <c r="AK429"/>
      <c r="AL429"/>
      <c r="AM429"/>
    </row>
    <row r="430" spans="2:39">
      <c r="B430" s="209"/>
      <c r="C430" s="209"/>
      <c r="I430"/>
      <c r="J430"/>
      <c r="K430"/>
      <c r="L430"/>
      <c r="M430"/>
      <c r="N430"/>
      <c r="Q430"/>
      <c r="R430"/>
      <c r="S430"/>
      <c r="T430"/>
      <c r="U430"/>
      <c r="V430"/>
      <c r="W430"/>
      <c r="X430"/>
      <c r="Y430"/>
      <c r="Z430"/>
      <c r="AA430"/>
      <c r="AB430"/>
      <c r="AC430"/>
      <c r="AD430"/>
      <c r="AE430"/>
      <c r="AF430"/>
      <c r="AG430"/>
      <c r="AH430"/>
      <c r="AI430"/>
      <c r="AJ430"/>
      <c r="AK430"/>
      <c r="AL430"/>
      <c r="AM430"/>
    </row>
    <row r="431" spans="2:39">
      <c r="B431" s="209"/>
      <c r="C431" s="209"/>
      <c r="I431"/>
      <c r="J431"/>
      <c r="K431"/>
      <c r="L431"/>
      <c r="M431"/>
      <c r="N431"/>
      <c r="Q431"/>
      <c r="R431"/>
      <c r="S431"/>
      <c r="T431"/>
      <c r="U431"/>
      <c r="V431"/>
      <c r="W431"/>
      <c r="X431"/>
      <c r="Y431"/>
      <c r="Z431"/>
      <c r="AA431"/>
      <c r="AB431"/>
      <c r="AC431"/>
      <c r="AD431"/>
      <c r="AE431"/>
      <c r="AF431"/>
      <c r="AG431"/>
      <c r="AH431"/>
      <c r="AI431"/>
      <c r="AJ431"/>
      <c r="AK431"/>
      <c r="AL431"/>
      <c r="AM431"/>
    </row>
    <row r="432" spans="2:39">
      <c r="B432" s="209"/>
      <c r="C432" s="209"/>
      <c r="I432"/>
      <c r="J432"/>
      <c r="K432"/>
      <c r="L432"/>
      <c r="M432"/>
      <c r="N432"/>
      <c r="Q432"/>
      <c r="R432"/>
      <c r="S432"/>
      <c r="T432"/>
      <c r="U432"/>
      <c r="V432"/>
      <c r="W432"/>
      <c r="X432"/>
      <c r="Y432"/>
      <c r="Z432"/>
      <c r="AA432"/>
      <c r="AB432"/>
      <c r="AC432"/>
      <c r="AD432"/>
      <c r="AE432"/>
      <c r="AF432"/>
      <c r="AG432"/>
      <c r="AH432"/>
      <c r="AI432"/>
      <c r="AJ432"/>
      <c r="AK432"/>
      <c r="AL432"/>
      <c r="AM432"/>
    </row>
    <row r="433" spans="2:39">
      <c r="B433" s="209"/>
      <c r="C433" s="209"/>
      <c r="I433"/>
      <c r="J433"/>
      <c r="K433"/>
      <c r="L433"/>
      <c r="M433"/>
      <c r="N433"/>
      <c r="Q433"/>
      <c r="R433"/>
      <c r="S433"/>
      <c r="T433"/>
      <c r="U433"/>
      <c r="V433"/>
      <c r="W433"/>
      <c r="X433"/>
      <c r="Y433"/>
      <c r="Z433"/>
      <c r="AA433"/>
      <c r="AB433"/>
      <c r="AC433"/>
      <c r="AD433"/>
      <c r="AE433"/>
      <c r="AF433"/>
      <c r="AG433"/>
      <c r="AH433"/>
      <c r="AI433"/>
      <c r="AJ433"/>
      <c r="AK433"/>
      <c r="AL433"/>
      <c r="AM433"/>
    </row>
    <row r="434" spans="2:39">
      <c r="B434" s="209"/>
      <c r="C434" s="209"/>
      <c r="I434"/>
      <c r="J434"/>
      <c r="K434"/>
      <c r="L434"/>
      <c r="M434"/>
      <c r="N434"/>
      <c r="Q434"/>
      <c r="R434"/>
      <c r="S434"/>
      <c r="T434"/>
      <c r="U434"/>
      <c r="V434"/>
      <c r="W434"/>
      <c r="X434"/>
      <c r="Y434"/>
      <c r="Z434"/>
      <c r="AA434"/>
      <c r="AB434"/>
      <c r="AC434"/>
      <c r="AD434"/>
      <c r="AE434"/>
      <c r="AF434"/>
      <c r="AG434"/>
      <c r="AH434"/>
      <c r="AI434"/>
      <c r="AJ434"/>
      <c r="AK434"/>
      <c r="AL434"/>
      <c r="AM434"/>
    </row>
    <row r="435" spans="2:39">
      <c r="B435" s="209"/>
      <c r="C435" s="209"/>
      <c r="I435"/>
      <c r="J435"/>
      <c r="K435"/>
      <c r="L435"/>
      <c r="M435"/>
      <c r="N435"/>
      <c r="Q435"/>
      <c r="R435"/>
      <c r="S435"/>
      <c r="T435"/>
      <c r="U435"/>
      <c r="V435"/>
      <c r="W435"/>
      <c r="X435"/>
      <c r="Y435"/>
      <c r="Z435"/>
      <c r="AA435"/>
      <c r="AB435"/>
      <c r="AC435"/>
      <c r="AD435"/>
      <c r="AE435"/>
      <c r="AF435"/>
      <c r="AG435"/>
      <c r="AH435"/>
      <c r="AI435"/>
      <c r="AJ435"/>
      <c r="AK435"/>
      <c r="AL435"/>
      <c r="AM435"/>
    </row>
    <row r="436" spans="2:39">
      <c r="B436" s="209"/>
      <c r="C436" s="209"/>
      <c r="I436"/>
      <c r="J436"/>
      <c r="K436"/>
      <c r="L436"/>
      <c r="M436"/>
      <c r="N436"/>
      <c r="Q436"/>
      <c r="R436"/>
      <c r="S436"/>
      <c r="T436"/>
      <c r="U436"/>
      <c r="V436"/>
      <c r="W436"/>
      <c r="X436"/>
      <c r="Y436"/>
      <c r="Z436"/>
      <c r="AA436"/>
      <c r="AB436"/>
      <c r="AC436"/>
      <c r="AD436"/>
      <c r="AE436"/>
      <c r="AF436"/>
      <c r="AG436"/>
      <c r="AH436"/>
      <c r="AI436"/>
      <c r="AJ436"/>
      <c r="AK436"/>
      <c r="AL436"/>
      <c r="AM436"/>
    </row>
    <row r="437" spans="2:39">
      <c r="B437" s="209"/>
      <c r="C437" s="209"/>
      <c r="I437"/>
      <c r="J437"/>
      <c r="K437"/>
      <c r="L437"/>
      <c r="M437"/>
      <c r="N437"/>
      <c r="Q437"/>
      <c r="R437"/>
      <c r="S437"/>
      <c r="T437"/>
      <c r="U437"/>
      <c r="V437"/>
      <c r="W437"/>
      <c r="X437"/>
      <c r="Y437"/>
      <c r="Z437"/>
      <c r="AA437"/>
      <c r="AB437"/>
      <c r="AC437"/>
      <c r="AD437"/>
      <c r="AE437"/>
      <c r="AF437"/>
      <c r="AG437"/>
      <c r="AH437"/>
      <c r="AI437"/>
      <c r="AJ437"/>
      <c r="AK437"/>
      <c r="AL437"/>
      <c r="AM437"/>
    </row>
    <row r="438" spans="2:39">
      <c r="B438" s="209"/>
      <c r="C438" s="209"/>
      <c r="I438"/>
      <c r="J438"/>
      <c r="K438"/>
      <c r="L438"/>
      <c r="M438"/>
      <c r="N438"/>
      <c r="Q438"/>
      <c r="R438"/>
      <c r="S438"/>
      <c r="T438"/>
      <c r="U438"/>
      <c r="V438"/>
      <c r="W438"/>
      <c r="X438"/>
      <c r="Y438"/>
      <c r="Z438"/>
      <c r="AA438"/>
      <c r="AB438"/>
      <c r="AC438"/>
      <c r="AD438"/>
      <c r="AE438"/>
      <c r="AF438"/>
      <c r="AG438"/>
      <c r="AH438"/>
      <c r="AI438"/>
      <c r="AJ438"/>
      <c r="AK438"/>
      <c r="AL438"/>
      <c r="AM438"/>
    </row>
    <row r="439" spans="2:39">
      <c r="B439" s="209"/>
      <c r="C439" s="209"/>
      <c r="I439"/>
      <c r="J439"/>
      <c r="K439"/>
      <c r="L439"/>
      <c r="M439"/>
      <c r="N439"/>
      <c r="Q439"/>
      <c r="R439"/>
      <c r="S439"/>
      <c r="T439"/>
      <c r="U439"/>
      <c r="V439"/>
      <c r="W439"/>
      <c r="X439"/>
      <c r="Y439"/>
      <c r="Z439"/>
      <c r="AA439"/>
      <c r="AB439"/>
      <c r="AC439"/>
      <c r="AD439"/>
      <c r="AE439"/>
      <c r="AF439"/>
      <c r="AG439"/>
      <c r="AH439"/>
      <c r="AI439"/>
      <c r="AJ439"/>
      <c r="AK439"/>
      <c r="AL439"/>
      <c r="AM439"/>
    </row>
    <row r="440" spans="2:39">
      <c r="B440" s="209"/>
      <c r="C440" s="209"/>
      <c r="I440"/>
      <c r="J440"/>
      <c r="K440"/>
      <c r="L440"/>
      <c r="M440"/>
      <c r="N440"/>
      <c r="Q440"/>
      <c r="R440"/>
      <c r="S440"/>
      <c r="T440"/>
      <c r="U440"/>
      <c r="V440"/>
      <c r="W440"/>
      <c r="X440"/>
      <c r="Y440"/>
      <c r="Z440"/>
      <c r="AA440"/>
      <c r="AB440"/>
      <c r="AC440"/>
      <c r="AD440"/>
      <c r="AE440"/>
      <c r="AF440"/>
      <c r="AG440"/>
      <c r="AH440"/>
      <c r="AI440"/>
      <c r="AJ440"/>
      <c r="AK440"/>
      <c r="AL440"/>
      <c r="AM440"/>
    </row>
    <row r="441" spans="2:39">
      <c r="B441" s="209"/>
      <c r="C441" s="209"/>
      <c r="I441"/>
      <c r="J441"/>
      <c r="K441"/>
      <c r="L441"/>
      <c r="M441"/>
      <c r="N441"/>
      <c r="Q441"/>
      <c r="R441"/>
      <c r="S441"/>
      <c r="T441"/>
      <c r="U441"/>
      <c r="V441"/>
      <c r="W441"/>
      <c r="X441"/>
      <c r="Y441"/>
      <c r="Z441"/>
      <c r="AA441"/>
      <c r="AB441"/>
      <c r="AC441"/>
      <c r="AD441"/>
      <c r="AE441"/>
      <c r="AF441"/>
      <c r="AG441"/>
      <c r="AH441"/>
      <c r="AI441"/>
      <c r="AJ441"/>
      <c r="AK441"/>
      <c r="AL441"/>
      <c r="AM441"/>
    </row>
    <row r="442" spans="2:39">
      <c r="B442" s="209"/>
      <c r="C442" s="209"/>
      <c r="I442"/>
      <c r="J442"/>
      <c r="K442"/>
      <c r="L442"/>
      <c r="M442"/>
      <c r="N442"/>
      <c r="Q442"/>
      <c r="R442"/>
      <c r="S442"/>
      <c r="T442"/>
      <c r="U442"/>
      <c r="V442"/>
      <c r="W442"/>
      <c r="X442"/>
      <c r="Y442"/>
      <c r="Z442"/>
      <c r="AA442"/>
      <c r="AB442"/>
      <c r="AC442"/>
      <c r="AD442"/>
      <c r="AE442"/>
      <c r="AF442"/>
      <c r="AG442"/>
      <c r="AH442"/>
      <c r="AI442"/>
      <c r="AJ442"/>
      <c r="AK442"/>
      <c r="AL442"/>
      <c r="AM442"/>
    </row>
    <row r="443" spans="2:39">
      <c r="B443" s="209"/>
      <c r="C443" s="209"/>
      <c r="I443"/>
      <c r="J443"/>
      <c r="K443"/>
      <c r="L443"/>
      <c r="M443"/>
      <c r="N443"/>
      <c r="Q443"/>
      <c r="R443"/>
      <c r="S443"/>
      <c r="T443"/>
      <c r="U443"/>
      <c r="V443"/>
      <c r="W443"/>
      <c r="X443"/>
      <c r="Y443"/>
      <c r="Z443"/>
      <c r="AA443"/>
      <c r="AB443"/>
      <c r="AC443"/>
      <c r="AD443"/>
      <c r="AE443"/>
      <c r="AF443"/>
      <c r="AG443"/>
      <c r="AH443"/>
      <c r="AI443"/>
      <c r="AJ443"/>
      <c r="AK443"/>
      <c r="AL443"/>
      <c r="AM443"/>
    </row>
    <row r="444" spans="2:39">
      <c r="B444" s="209"/>
      <c r="C444" s="209"/>
      <c r="I444"/>
      <c r="J444"/>
      <c r="K444"/>
      <c r="L444"/>
      <c r="M444"/>
      <c r="N444"/>
      <c r="Q444"/>
      <c r="R444"/>
      <c r="S444"/>
      <c r="T444"/>
      <c r="U444"/>
      <c r="V444"/>
      <c r="W444"/>
      <c r="X444"/>
      <c r="Y444"/>
      <c r="Z444"/>
      <c r="AA444"/>
      <c r="AB444"/>
      <c r="AC444"/>
      <c r="AD444"/>
      <c r="AE444"/>
      <c r="AF444"/>
      <c r="AG444"/>
      <c r="AH444"/>
      <c r="AI444"/>
      <c r="AJ444"/>
      <c r="AK444"/>
      <c r="AL444"/>
      <c r="AM444"/>
    </row>
    <row r="445" spans="2:39">
      <c r="B445" s="209"/>
      <c r="C445" s="209"/>
      <c r="I445"/>
      <c r="J445"/>
      <c r="K445"/>
      <c r="L445"/>
      <c r="M445"/>
      <c r="N445"/>
      <c r="Q445"/>
      <c r="R445"/>
      <c r="S445"/>
      <c r="T445"/>
      <c r="U445"/>
      <c r="V445"/>
      <c r="W445"/>
      <c r="X445"/>
      <c r="Y445"/>
      <c r="Z445"/>
      <c r="AA445"/>
      <c r="AB445"/>
      <c r="AC445"/>
      <c r="AD445"/>
      <c r="AE445"/>
      <c r="AF445"/>
      <c r="AG445"/>
      <c r="AH445"/>
      <c r="AI445"/>
      <c r="AJ445"/>
      <c r="AK445"/>
      <c r="AL445"/>
      <c r="AM445"/>
    </row>
    <row r="446" spans="2:39">
      <c r="B446" s="209"/>
      <c r="C446" s="209"/>
      <c r="I446"/>
      <c r="J446"/>
      <c r="K446"/>
      <c r="L446"/>
      <c r="M446"/>
      <c r="N446"/>
      <c r="Q446"/>
      <c r="R446"/>
      <c r="S446"/>
      <c r="T446"/>
      <c r="U446"/>
      <c r="V446"/>
      <c r="W446"/>
      <c r="X446"/>
      <c r="Y446"/>
      <c r="Z446"/>
      <c r="AA446"/>
      <c r="AB446"/>
      <c r="AC446"/>
      <c r="AD446"/>
      <c r="AE446"/>
      <c r="AF446"/>
      <c r="AG446"/>
      <c r="AH446"/>
      <c r="AI446"/>
      <c r="AJ446"/>
      <c r="AK446"/>
      <c r="AL446"/>
      <c r="AM446"/>
    </row>
    <row r="447" spans="2:39">
      <c r="B447" s="209"/>
      <c r="C447" s="209"/>
      <c r="I447"/>
      <c r="J447"/>
      <c r="K447"/>
      <c r="L447"/>
      <c r="M447"/>
      <c r="N447"/>
      <c r="Q447"/>
      <c r="R447"/>
      <c r="S447"/>
      <c r="T447"/>
      <c r="U447"/>
      <c r="V447"/>
      <c r="W447"/>
      <c r="X447"/>
      <c r="Y447"/>
      <c r="Z447"/>
      <c r="AA447"/>
      <c r="AB447"/>
      <c r="AC447"/>
      <c r="AD447"/>
      <c r="AE447"/>
      <c r="AF447"/>
      <c r="AG447"/>
      <c r="AH447"/>
      <c r="AI447"/>
      <c r="AJ447"/>
      <c r="AK447"/>
      <c r="AL447"/>
      <c r="AM447"/>
    </row>
    <row r="448" spans="2:39">
      <c r="B448" s="209"/>
      <c r="C448" s="209"/>
      <c r="I448"/>
      <c r="J448"/>
      <c r="K448"/>
      <c r="L448"/>
      <c r="M448"/>
      <c r="N448"/>
      <c r="Q448"/>
      <c r="R448"/>
      <c r="S448"/>
      <c r="T448"/>
      <c r="U448"/>
      <c r="V448"/>
      <c r="W448"/>
      <c r="X448"/>
      <c r="Y448"/>
      <c r="Z448"/>
      <c r="AA448"/>
      <c r="AB448"/>
      <c r="AC448"/>
      <c r="AD448"/>
      <c r="AE448"/>
      <c r="AF448"/>
      <c r="AG448"/>
      <c r="AH448"/>
      <c r="AI448"/>
      <c r="AJ448"/>
      <c r="AK448"/>
      <c r="AL448"/>
      <c r="AM448"/>
    </row>
    <row r="449" spans="2:39">
      <c r="B449" s="209"/>
      <c r="C449" s="209"/>
      <c r="I449"/>
      <c r="J449"/>
      <c r="K449"/>
      <c r="L449"/>
      <c r="M449"/>
      <c r="N449"/>
      <c r="Q449"/>
      <c r="R449"/>
      <c r="S449"/>
      <c r="T449"/>
      <c r="U449"/>
      <c r="V449"/>
      <c r="W449"/>
      <c r="X449"/>
      <c r="Y449"/>
      <c r="Z449"/>
      <c r="AA449"/>
      <c r="AB449"/>
      <c r="AC449"/>
      <c r="AD449"/>
      <c r="AE449"/>
      <c r="AF449"/>
      <c r="AG449"/>
      <c r="AH449"/>
      <c r="AI449"/>
      <c r="AJ449"/>
      <c r="AK449"/>
      <c r="AL449"/>
      <c r="AM449"/>
    </row>
    <row r="450" spans="2:39">
      <c r="B450" s="209"/>
      <c r="C450" s="209"/>
      <c r="I450"/>
      <c r="J450"/>
      <c r="K450"/>
      <c r="L450"/>
      <c r="M450"/>
      <c r="N450"/>
      <c r="Q450"/>
      <c r="R450"/>
      <c r="S450"/>
      <c r="T450"/>
      <c r="U450"/>
      <c r="V450"/>
      <c r="W450"/>
      <c r="X450"/>
      <c r="Y450"/>
      <c r="Z450"/>
      <c r="AA450"/>
      <c r="AB450"/>
      <c r="AC450"/>
      <c r="AD450"/>
      <c r="AE450"/>
      <c r="AF450"/>
      <c r="AG450"/>
      <c r="AH450"/>
      <c r="AI450"/>
      <c r="AJ450"/>
      <c r="AK450"/>
      <c r="AL450"/>
      <c r="AM450"/>
    </row>
    <row r="451" spans="2:39">
      <c r="B451" s="209"/>
      <c r="C451" s="209"/>
      <c r="I451"/>
      <c r="J451"/>
      <c r="K451"/>
      <c r="L451"/>
      <c r="M451"/>
      <c r="N451"/>
      <c r="Q451"/>
      <c r="R451"/>
      <c r="S451"/>
      <c r="T451"/>
      <c r="U451"/>
      <c r="V451"/>
      <c r="W451"/>
      <c r="X451"/>
      <c r="Y451"/>
      <c r="Z451"/>
      <c r="AA451"/>
      <c r="AB451"/>
      <c r="AC451"/>
      <c r="AD451"/>
      <c r="AE451"/>
      <c r="AF451"/>
      <c r="AG451"/>
      <c r="AH451"/>
      <c r="AI451"/>
      <c r="AJ451"/>
      <c r="AK451"/>
      <c r="AL451"/>
      <c r="AM451"/>
    </row>
    <row r="452" spans="2:39">
      <c r="B452" s="209"/>
      <c r="C452" s="209"/>
      <c r="I452"/>
      <c r="J452"/>
      <c r="K452"/>
      <c r="L452"/>
      <c r="M452"/>
      <c r="N452"/>
      <c r="Q452"/>
      <c r="R452"/>
      <c r="S452"/>
      <c r="T452"/>
      <c r="U452"/>
      <c r="V452"/>
      <c r="W452"/>
      <c r="X452"/>
      <c r="Y452"/>
      <c r="Z452"/>
      <c r="AA452"/>
      <c r="AB452"/>
      <c r="AC452"/>
      <c r="AD452"/>
      <c r="AE452"/>
      <c r="AF452"/>
      <c r="AG452"/>
      <c r="AH452"/>
      <c r="AI452"/>
      <c r="AJ452"/>
      <c r="AK452"/>
      <c r="AL452"/>
      <c r="AM452"/>
    </row>
    <row r="453" spans="2:39">
      <c r="B453" s="209"/>
      <c r="C453" s="209"/>
      <c r="I453"/>
      <c r="J453"/>
      <c r="K453"/>
      <c r="L453"/>
      <c r="M453"/>
      <c r="N453"/>
      <c r="Q453"/>
      <c r="R453"/>
      <c r="S453"/>
      <c r="T453"/>
      <c r="U453"/>
      <c r="V453"/>
      <c r="W453"/>
      <c r="X453"/>
      <c r="Y453"/>
      <c r="Z453"/>
      <c r="AA453"/>
      <c r="AB453"/>
      <c r="AC453"/>
      <c r="AD453"/>
      <c r="AE453"/>
      <c r="AF453"/>
      <c r="AG453"/>
      <c r="AH453"/>
      <c r="AI453"/>
      <c r="AJ453"/>
      <c r="AK453"/>
      <c r="AL453"/>
      <c r="AM453"/>
    </row>
    <row r="454" spans="2:39">
      <c r="B454" s="209"/>
      <c r="C454" s="209"/>
      <c r="I454"/>
      <c r="J454"/>
      <c r="K454"/>
      <c r="L454"/>
      <c r="M454"/>
      <c r="N454"/>
      <c r="Q454"/>
      <c r="R454"/>
      <c r="S454"/>
      <c r="T454"/>
      <c r="U454"/>
      <c r="V454"/>
      <c r="W454"/>
      <c r="X454"/>
      <c r="Y454"/>
      <c r="Z454"/>
      <c r="AA454"/>
      <c r="AB454"/>
      <c r="AC454"/>
      <c r="AD454"/>
      <c r="AE454"/>
      <c r="AF454"/>
      <c r="AG454"/>
      <c r="AH454"/>
      <c r="AI454"/>
      <c r="AJ454"/>
      <c r="AK454"/>
      <c r="AL454"/>
      <c r="AM454"/>
    </row>
    <row r="455" spans="2:39">
      <c r="B455" s="209"/>
      <c r="C455" s="209"/>
      <c r="I455"/>
      <c r="J455"/>
      <c r="K455"/>
      <c r="L455"/>
      <c r="M455"/>
      <c r="N455"/>
      <c r="Q455"/>
      <c r="R455"/>
      <c r="S455"/>
      <c r="T455"/>
      <c r="U455"/>
      <c r="V455"/>
      <c r="W455"/>
      <c r="X455"/>
      <c r="Y455"/>
      <c r="Z455"/>
      <c r="AA455"/>
      <c r="AB455"/>
      <c r="AC455"/>
      <c r="AD455"/>
      <c r="AE455"/>
      <c r="AF455"/>
      <c r="AG455"/>
      <c r="AH455"/>
      <c r="AI455"/>
      <c r="AJ455"/>
      <c r="AK455"/>
      <c r="AL455"/>
      <c r="AM455"/>
    </row>
    <row r="456" spans="2:39">
      <c r="B456" s="209"/>
      <c r="C456" s="209"/>
      <c r="I456"/>
      <c r="J456"/>
      <c r="K456"/>
      <c r="L456"/>
      <c r="M456"/>
      <c r="N456"/>
      <c r="Q456"/>
      <c r="R456"/>
      <c r="S456"/>
      <c r="T456"/>
      <c r="U456"/>
      <c r="V456"/>
      <c r="W456"/>
      <c r="X456"/>
      <c r="Y456"/>
      <c r="Z456"/>
      <c r="AA456"/>
      <c r="AB456"/>
      <c r="AC456"/>
      <c r="AD456"/>
      <c r="AE456"/>
      <c r="AF456"/>
      <c r="AG456"/>
      <c r="AH456"/>
      <c r="AI456"/>
      <c r="AJ456"/>
      <c r="AK456"/>
      <c r="AL456"/>
      <c r="AM456"/>
    </row>
    <row r="457" spans="2:39">
      <c r="B457" s="209"/>
      <c r="C457" s="209"/>
      <c r="I457"/>
      <c r="J457"/>
      <c r="K457"/>
      <c r="L457"/>
      <c r="M457"/>
      <c r="N457"/>
      <c r="Q457"/>
      <c r="R457"/>
      <c r="S457"/>
      <c r="T457"/>
      <c r="U457"/>
      <c r="V457"/>
      <c r="W457"/>
      <c r="X457"/>
      <c r="Y457"/>
      <c r="Z457"/>
      <c r="AA457"/>
      <c r="AB457"/>
      <c r="AC457"/>
      <c r="AD457"/>
      <c r="AE457"/>
      <c r="AF457"/>
      <c r="AG457"/>
      <c r="AH457"/>
      <c r="AI457"/>
      <c r="AJ457"/>
      <c r="AK457"/>
      <c r="AL457"/>
      <c r="AM457"/>
    </row>
    <row r="458" spans="2:39">
      <c r="B458" s="209"/>
      <c r="C458" s="209"/>
      <c r="I458"/>
      <c r="J458"/>
      <c r="K458"/>
      <c r="L458"/>
      <c r="M458"/>
      <c r="N458"/>
      <c r="Q458"/>
      <c r="R458"/>
      <c r="S458"/>
      <c r="T458"/>
      <c r="U458"/>
      <c r="V458"/>
      <c r="W458"/>
      <c r="X458"/>
      <c r="Y458"/>
      <c r="Z458"/>
      <c r="AA458"/>
      <c r="AB458"/>
      <c r="AC458"/>
      <c r="AD458"/>
      <c r="AE458"/>
      <c r="AF458"/>
      <c r="AG458"/>
      <c r="AH458"/>
      <c r="AI458"/>
      <c r="AJ458"/>
      <c r="AK458"/>
      <c r="AL458"/>
      <c r="AM458"/>
    </row>
    <row r="459" spans="2:39">
      <c r="B459" s="209"/>
      <c r="C459" s="209"/>
      <c r="I459"/>
      <c r="J459"/>
      <c r="K459"/>
      <c r="L459"/>
      <c r="M459"/>
      <c r="N459"/>
      <c r="Q459"/>
      <c r="R459"/>
      <c r="S459"/>
      <c r="T459"/>
      <c r="U459"/>
      <c r="V459"/>
      <c r="W459"/>
      <c r="X459"/>
      <c r="Y459"/>
      <c r="Z459"/>
      <c r="AA459"/>
      <c r="AB459"/>
      <c r="AC459"/>
      <c r="AD459"/>
      <c r="AE459"/>
      <c r="AF459"/>
      <c r="AG459"/>
      <c r="AH459"/>
      <c r="AI459"/>
      <c r="AJ459"/>
      <c r="AK459"/>
      <c r="AL459"/>
      <c r="AM459"/>
    </row>
    <row r="460" spans="2:39">
      <c r="B460" s="209"/>
      <c r="C460" s="209"/>
      <c r="I460"/>
      <c r="J460"/>
      <c r="K460"/>
      <c r="L460"/>
      <c r="M460"/>
      <c r="N460"/>
      <c r="Q460"/>
      <c r="R460"/>
      <c r="S460"/>
      <c r="T460"/>
      <c r="U460"/>
      <c r="V460"/>
      <c r="W460"/>
      <c r="X460"/>
      <c r="Y460"/>
      <c r="Z460"/>
      <c r="AA460"/>
      <c r="AB460"/>
      <c r="AC460"/>
      <c r="AD460"/>
      <c r="AE460"/>
      <c r="AF460"/>
      <c r="AG460"/>
      <c r="AH460"/>
      <c r="AI460"/>
      <c r="AJ460"/>
      <c r="AK460"/>
      <c r="AL460"/>
      <c r="AM460"/>
    </row>
    <row r="461" spans="2:39">
      <c r="B461" s="209"/>
      <c r="C461" s="209"/>
      <c r="I461"/>
      <c r="J461"/>
      <c r="K461"/>
      <c r="L461"/>
      <c r="M461"/>
      <c r="N461"/>
      <c r="Q461"/>
      <c r="R461"/>
      <c r="S461"/>
      <c r="T461"/>
      <c r="U461"/>
      <c r="V461"/>
      <c r="W461"/>
      <c r="X461"/>
      <c r="Y461"/>
      <c r="Z461"/>
      <c r="AA461"/>
      <c r="AB461"/>
      <c r="AC461"/>
      <c r="AD461"/>
      <c r="AE461"/>
      <c r="AF461"/>
      <c r="AG461"/>
      <c r="AH461"/>
      <c r="AI461"/>
      <c r="AJ461"/>
      <c r="AK461"/>
      <c r="AL461"/>
      <c r="AM461"/>
    </row>
    <row r="462" spans="2:39">
      <c r="B462" s="209"/>
      <c r="C462" s="209"/>
      <c r="I462"/>
      <c r="J462"/>
      <c r="K462"/>
      <c r="L462"/>
      <c r="M462"/>
      <c r="N462"/>
      <c r="Q462"/>
      <c r="R462"/>
      <c r="S462"/>
      <c r="T462"/>
      <c r="U462"/>
      <c r="V462"/>
      <c r="W462"/>
      <c r="X462"/>
      <c r="Y462"/>
      <c r="Z462"/>
      <c r="AA462"/>
      <c r="AB462"/>
      <c r="AC462"/>
      <c r="AD462"/>
      <c r="AE462"/>
      <c r="AF462"/>
      <c r="AG462"/>
      <c r="AH462"/>
      <c r="AI462"/>
      <c r="AJ462"/>
      <c r="AK462"/>
      <c r="AL462"/>
      <c r="AM462"/>
    </row>
    <row r="463" spans="2:39">
      <c r="B463" s="209"/>
      <c r="C463" s="209"/>
      <c r="I463"/>
      <c r="J463"/>
      <c r="K463"/>
      <c r="L463"/>
      <c r="M463"/>
      <c r="N463"/>
      <c r="Q463"/>
      <c r="R463"/>
      <c r="S463"/>
      <c r="T463"/>
      <c r="U463"/>
      <c r="V463"/>
      <c r="W463"/>
      <c r="X463"/>
      <c r="Y463"/>
      <c r="Z463"/>
      <c r="AA463"/>
      <c r="AB463"/>
      <c r="AC463"/>
      <c r="AD463"/>
      <c r="AE463"/>
      <c r="AF463"/>
      <c r="AG463"/>
      <c r="AH463"/>
      <c r="AI463"/>
      <c r="AJ463"/>
      <c r="AK463"/>
      <c r="AL463"/>
      <c r="AM463"/>
    </row>
    <row r="464" spans="2:39">
      <c r="B464" s="209"/>
      <c r="C464" s="209"/>
      <c r="I464"/>
      <c r="J464"/>
      <c r="K464"/>
      <c r="L464"/>
      <c r="M464"/>
      <c r="N464"/>
      <c r="Q464"/>
      <c r="R464"/>
      <c r="S464"/>
      <c r="T464"/>
      <c r="U464"/>
      <c r="V464"/>
      <c r="W464"/>
      <c r="X464"/>
      <c r="Y464"/>
      <c r="Z464"/>
      <c r="AA464"/>
      <c r="AB464"/>
      <c r="AC464"/>
      <c r="AD464"/>
      <c r="AE464"/>
      <c r="AF464"/>
      <c r="AG464"/>
      <c r="AH464"/>
      <c r="AI464"/>
      <c r="AJ464"/>
      <c r="AK464"/>
      <c r="AL464"/>
      <c r="AM464"/>
    </row>
    <row r="465" spans="2:39">
      <c r="B465" s="209"/>
      <c r="C465" s="209"/>
      <c r="I465"/>
      <c r="J465"/>
      <c r="K465"/>
      <c r="L465"/>
      <c r="M465"/>
      <c r="N465"/>
      <c r="Q465"/>
      <c r="R465"/>
      <c r="S465"/>
      <c r="T465"/>
      <c r="U465"/>
      <c r="V465"/>
      <c r="W465"/>
      <c r="X465"/>
      <c r="Y465"/>
      <c r="Z465"/>
      <c r="AA465"/>
      <c r="AB465"/>
      <c r="AC465"/>
      <c r="AD465"/>
      <c r="AE465"/>
      <c r="AF465"/>
      <c r="AG465"/>
      <c r="AH465"/>
      <c r="AI465"/>
      <c r="AJ465"/>
      <c r="AK465"/>
      <c r="AL465"/>
      <c r="AM465"/>
    </row>
    <row r="466" spans="2:39">
      <c r="B466" s="209"/>
      <c r="C466" s="209"/>
      <c r="I466"/>
      <c r="J466"/>
      <c r="K466"/>
      <c r="L466"/>
      <c r="M466"/>
      <c r="N466"/>
      <c r="Q466"/>
      <c r="R466"/>
      <c r="S466"/>
      <c r="T466"/>
      <c r="U466"/>
      <c r="V466"/>
      <c r="W466"/>
      <c r="X466"/>
      <c r="Y466"/>
      <c r="Z466"/>
      <c r="AA466"/>
      <c r="AB466"/>
      <c r="AC466"/>
      <c r="AD466"/>
      <c r="AE466"/>
      <c r="AF466"/>
      <c r="AG466"/>
      <c r="AH466"/>
      <c r="AI466"/>
      <c r="AJ466"/>
      <c r="AK466"/>
      <c r="AL466"/>
      <c r="AM466"/>
    </row>
    <row r="467" spans="2:39">
      <c r="B467" s="209"/>
      <c r="C467" s="209"/>
      <c r="I467"/>
      <c r="J467"/>
      <c r="K467"/>
      <c r="L467"/>
      <c r="M467"/>
      <c r="N467"/>
      <c r="Q467"/>
      <c r="R467"/>
      <c r="S467"/>
      <c r="T467"/>
      <c r="U467"/>
      <c r="V467"/>
      <c r="W467"/>
      <c r="X467"/>
      <c r="Y467"/>
      <c r="Z467"/>
      <c r="AA467"/>
      <c r="AB467"/>
      <c r="AC467"/>
      <c r="AD467"/>
      <c r="AE467"/>
      <c r="AF467"/>
      <c r="AG467"/>
      <c r="AH467"/>
      <c r="AI467"/>
      <c r="AJ467"/>
      <c r="AK467"/>
      <c r="AL467"/>
      <c r="AM467"/>
    </row>
    <row r="468" spans="2:39">
      <c r="B468" s="209"/>
      <c r="C468" s="209"/>
      <c r="I468"/>
      <c r="J468"/>
      <c r="K468"/>
      <c r="L468"/>
      <c r="M468"/>
      <c r="N468"/>
      <c r="Q468"/>
      <c r="R468"/>
      <c r="S468"/>
      <c r="T468"/>
      <c r="U468"/>
      <c r="V468"/>
      <c r="W468"/>
      <c r="X468"/>
      <c r="Y468"/>
      <c r="Z468"/>
      <c r="AA468"/>
      <c r="AB468"/>
      <c r="AC468"/>
      <c r="AD468"/>
      <c r="AE468"/>
      <c r="AF468"/>
      <c r="AG468"/>
      <c r="AH468"/>
      <c r="AI468"/>
      <c r="AJ468"/>
      <c r="AK468"/>
      <c r="AL468"/>
      <c r="AM468"/>
    </row>
    <row r="469" spans="2:39">
      <c r="B469" s="209"/>
      <c r="C469" s="209"/>
      <c r="I469"/>
      <c r="J469"/>
      <c r="K469"/>
      <c r="L469"/>
      <c r="M469"/>
      <c r="N469"/>
      <c r="Q469"/>
      <c r="R469"/>
      <c r="S469"/>
      <c r="T469"/>
      <c r="U469"/>
      <c r="V469"/>
      <c r="W469"/>
      <c r="X469"/>
      <c r="Y469"/>
      <c r="Z469"/>
      <c r="AA469"/>
      <c r="AB469"/>
      <c r="AC469"/>
      <c r="AD469"/>
      <c r="AE469"/>
      <c r="AF469"/>
      <c r="AG469"/>
      <c r="AH469"/>
      <c r="AI469"/>
      <c r="AJ469"/>
      <c r="AK469"/>
      <c r="AL469"/>
      <c r="AM469"/>
    </row>
    <row r="470" spans="2:39">
      <c r="B470" s="209"/>
      <c r="C470" s="209"/>
      <c r="I470"/>
      <c r="J470"/>
      <c r="K470"/>
      <c r="L470"/>
      <c r="M470"/>
      <c r="N470"/>
      <c r="Q470"/>
      <c r="R470"/>
      <c r="S470"/>
      <c r="T470"/>
      <c r="U470"/>
      <c r="V470"/>
      <c r="W470"/>
      <c r="X470"/>
      <c r="Y470"/>
      <c r="Z470"/>
      <c r="AA470"/>
      <c r="AB470"/>
      <c r="AC470"/>
      <c r="AD470"/>
      <c r="AE470"/>
      <c r="AF470"/>
      <c r="AG470"/>
      <c r="AH470"/>
      <c r="AI470"/>
      <c r="AJ470"/>
      <c r="AK470"/>
      <c r="AL470"/>
      <c r="AM470"/>
    </row>
    <row r="471" spans="2:39">
      <c r="B471" s="209"/>
      <c r="C471" s="209"/>
      <c r="I471"/>
      <c r="J471"/>
      <c r="K471"/>
      <c r="L471"/>
      <c r="M471"/>
      <c r="N471"/>
      <c r="Q471"/>
      <c r="R471"/>
      <c r="S471"/>
      <c r="T471"/>
      <c r="U471"/>
      <c r="V471"/>
      <c r="W471"/>
      <c r="X471"/>
      <c r="Y471"/>
      <c r="Z471"/>
      <c r="AA471"/>
      <c r="AB471"/>
      <c r="AC471"/>
      <c r="AD471"/>
      <c r="AE471"/>
      <c r="AF471"/>
      <c r="AG471"/>
      <c r="AH471"/>
      <c r="AI471"/>
      <c r="AJ471"/>
      <c r="AK471"/>
      <c r="AL471"/>
      <c r="AM471"/>
    </row>
    <row r="472" spans="2:39">
      <c r="B472" s="209"/>
      <c r="C472" s="209"/>
      <c r="I472"/>
      <c r="J472"/>
      <c r="K472"/>
      <c r="L472"/>
      <c r="M472"/>
      <c r="N472"/>
      <c r="Q472"/>
      <c r="R472"/>
      <c r="S472"/>
      <c r="T472"/>
      <c r="U472"/>
      <c r="V472"/>
      <c r="W472"/>
      <c r="X472"/>
      <c r="Y472"/>
      <c r="Z472"/>
      <c r="AA472"/>
      <c r="AB472"/>
      <c r="AC472"/>
      <c r="AD472"/>
      <c r="AE472"/>
      <c r="AF472"/>
      <c r="AG472"/>
      <c r="AH472"/>
      <c r="AI472"/>
      <c r="AJ472"/>
      <c r="AK472"/>
      <c r="AL472"/>
      <c r="AM472"/>
    </row>
    <row r="473" spans="2:39">
      <c r="B473" s="209"/>
      <c r="C473" s="209"/>
      <c r="I473"/>
      <c r="J473"/>
      <c r="K473"/>
      <c r="L473"/>
      <c r="M473"/>
      <c r="N473"/>
      <c r="Q473"/>
      <c r="R473"/>
      <c r="S473"/>
      <c r="T473"/>
      <c r="U473"/>
      <c r="V473"/>
      <c r="W473"/>
      <c r="X473"/>
      <c r="Y473"/>
      <c r="Z473"/>
      <c r="AA473"/>
      <c r="AB473"/>
      <c r="AC473"/>
      <c r="AD473"/>
      <c r="AE473"/>
      <c r="AF473"/>
      <c r="AG473"/>
      <c r="AH473"/>
      <c r="AI473"/>
      <c r="AJ473"/>
      <c r="AK473"/>
      <c r="AL473"/>
      <c r="AM473"/>
    </row>
    <row r="474" spans="2:39">
      <c r="B474" s="209"/>
      <c r="C474" s="209"/>
      <c r="I474"/>
      <c r="J474"/>
      <c r="K474"/>
      <c r="L474"/>
      <c r="M474"/>
      <c r="N474"/>
      <c r="Q474"/>
      <c r="R474"/>
      <c r="S474"/>
      <c r="T474"/>
      <c r="U474"/>
      <c r="V474"/>
      <c r="W474"/>
      <c r="X474"/>
      <c r="Y474"/>
      <c r="Z474"/>
      <c r="AA474"/>
      <c r="AB474"/>
      <c r="AC474"/>
      <c r="AD474"/>
      <c r="AE474"/>
      <c r="AF474"/>
      <c r="AG474"/>
      <c r="AH474"/>
      <c r="AI474"/>
      <c r="AJ474"/>
      <c r="AK474"/>
      <c r="AL474"/>
      <c r="AM474"/>
    </row>
    <row r="475" spans="2:39">
      <c r="B475" s="209"/>
      <c r="C475" s="209"/>
      <c r="I475"/>
      <c r="J475"/>
      <c r="K475"/>
      <c r="L475"/>
      <c r="M475"/>
      <c r="N475"/>
      <c r="Q475"/>
      <c r="R475"/>
      <c r="S475"/>
      <c r="T475"/>
      <c r="U475"/>
      <c r="V475"/>
      <c r="W475"/>
      <c r="X475"/>
      <c r="Y475"/>
      <c r="Z475"/>
      <c r="AA475"/>
      <c r="AB475"/>
      <c r="AC475"/>
      <c r="AD475"/>
      <c r="AE475"/>
      <c r="AF475"/>
      <c r="AG475"/>
      <c r="AH475"/>
      <c r="AI475"/>
      <c r="AJ475"/>
      <c r="AK475"/>
      <c r="AL475"/>
      <c r="AM475"/>
    </row>
    <row r="476" spans="2:39">
      <c r="B476" s="209"/>
      <c r="C476" s="209"/>
      <c r="I476"/>
      <c r="J476"/>
      <c r="K476"/>
      <c r="L476"/>
      <c r="M476"/>
      <c r="N476"/>
      <c r="Q476"/>
      <c r="R476"/>
      <c r="S476"/>
      <c r="T476"/>
      <c r="U476"/>
      <c r="V476"/>
      <c r="W476"/>
      <c r="X476"/>
      <c r="Y476"/>
      <c r="Z476"/>
      <c r="AA476"/>
      <c r="AB476"/>
      <c r="AC476"/>
      <c r="AD476"/>
      <c r="AE476"/>
      <c r="AF476"/>
      <c r="AG476"/>
      <c r="AH476"/>
      <c r="AI476"/>
      <c r="AJ476"/>
      <c r="AK476"/>
      <c r="AL476"/>
      <c r="AM476"/>
    </row>
    <row r="477" spans="2:39">
      <c r="B477" s="209"/>
      <c r="C477" s="209"/>
      <c r="I477"/>
      <c r="J477"/>
      <c r="K477"/>
      <c r="L477"/>
      <c r="M477"/>
      <c r="N477"/>
      <c r="Q477"/>
      <c r="R477"/>
      <c r="S477"/>
      <c r="T477"/>
      <c r="U477"/>
      <c r="V477"/>
      <c r="W477"/>
      <c r="X477"/>
      <c r="Y477"/>
      <c r="Z477"/>
      <c r="AA477"/>
      <c r="AB477"/>
      <c r="AC477"/>
      <c r="AD477"/>
      <c r="AE477"/>
      <c r="AF477"/>
      <c r="AG477"/>
      <c r="AH477"/>
      <c r="AI477"/>
      <c r="AJ477"/>
      <c r="AK477"/>
      <c r="AL477"/>
      <c r="AM477"/>
    </row>
    <row r="478" spans="2:39">
      <c r="B478" s="209"/>
      <c r="C478" s="209"/>
      <c r="I478"/>
      <c r="J478"/>
      <c r="K478"/>
      <c r="L478"/>
      <c r="M478"/>
      <c r="N478"/>
      <c r="Q478"/>
      <c r="R478"/>
      <c r="S478"/>
      <c r="T478"/>
      <c r="U478"/>
      <c r="V478"/>
      <c r="W478"/>
      <c r="X478"/>
      <c r="Y478"/>
      <c r="Z478"/>
      <c r="AA478"/>
      <c r="AB478"/>
      <c r="AC478"/>
      <c r="AD478"/>
      <c r="AE478"/>
      <c r="AF478"/>
      <c r="AG478"/>
      <c r="AH478"/>
      <c r="AI478"/>
      <c r="AJ478"/>
      <c r="AK478"/>
      <c r="AL478"/>
      <c r="AM478"/>
    </row>
    <row r="479" spans="2:39">
      <c r="B479" s="209"/>
      <c r="C479" s="209"/>
      <c r="I479"/>
      <c r="J479"/>
      <c r="K479"/>
      <c r="L479"/>
      <c r="M479"/>
      <c r="N479"/>
      <c r="Q479"/>
      <c r="R479"/>
      <c r="S479"/>
      <c r="T479"/>
      <c r="U479"/>
      <c r="V479"/>
      <c r="W479"/>
      <c r="X479"/>
      <c r="Y479"/>
      <c r="Z479"/>
      <c r="AA479"/>
      <c r="AB479"/>
      <c r="AC479"/>
      <c r="AD479"/>
      <c r="AE479"/>
      <c r="AF479"/>
      <c r="AG479"/>
      <c r="AH479"/>
      <c r="AI479"/>
      <c r="AJ479"/>
      <c r="AK479"/>
      <c r="AL479"/>
      <c r="AM479"/>
    </row>
    <row r="480" spans="2:39">
      <c r="B480" s="209"/>
      <c r="C480" s="209"/>
      <c r="I480"/>
      <c r="J480"/>
      <c r="K480"/>
      <c r="L480"/>
      <c r="M480"/>
      <c r="N480"/>
      <c r="Q480"/>
      <c r="R480"/>
      <c r="S480"/>
      <c r="T480"/>
      <c r="U480"/>
      <c r="V480"/>
      <c r="W480"/>
      <c r="X480"/>
      <c r="Y480"/>
      <c r="Z480"/>
      <c r="AA480"/>
      <c r="AB480"/>
      <c r="AC480"/>
      <c r="AD480"/>
      <c r="AE480"/>
      <c r="AF480"/>
      <c r="AG480"/>
      <c r="AH480"/>
      <c r="AI480"/>
      <c r="AJ480"/>
      <c r="AK480"/>
      <c r="AL480"/>
      <c r="AM480"/>
    </row>
    <row r="481" spans="2:39">
      <c r="B481" s="209"/>
      <c r="C481" s="209"/>
      <c r="I481"/>
      <c r="J481"/>
      <c r="K481"/>
      <c r="L481"/>
      <c r="M481"/>
      <c r="N481"/>
      <c r="Q481"/>
      <c r="R481"/>
      <c r="S481"/>
      <c r="T481"/>
      <c r="U481"/>
      <c r="V481"/>
      <c r="W481"/>
      <c r="X481"/>
      <c r="Y481"/>
      <c r="Z481"/>
      <c r="AA481"/>
      <c r="AB481"/>
      <c r="AC481"/>
      <c r="AD481"/>
      <c r="AE481"/>
      <c r="AF481"/>
      <c r="AG481"/>
      <c r="AH481"/>
      <c r="AI481"/>
      <c r="AJ481"/>
      <c r="AK481"/>
      <c r="AL481"/>
      <c r="AM481"/>
    </row>
    <row r="482" spans="2:39">
      <c r="B482" s="209"/>
      <c r="C482" s="209"/>
      <c r="I482"/>
      <c r="J482"/>
      <c r="K482"/>
      <c r="L482"/>
      <c r="M482"/>
      <c r="N482"/>
      <c r="Q482"/>
      <c r="R482"/>
      <c r="S482"/>
      <c r="T482"/>
      <c r="U482"/>
      <c r="V482"/>
      <c r="W482"/>
      <c r="X482"/>
      <c r="Y482"/>
      <c r="Z482"/>
      <c r="AA482"/>
      <c r="AB482"/>
      <c r="AC482"/>
      <c r="AD482"/>
      <c r="AE482"/>
      <c r="AF482"/>
      <c r="AG482"/>
      <c r="AH482"/>
      <c r="AI482"/>
      <c r="AJ482"/>
      <c r="AK482"/>
      <c r="AL482"/>
      <c r="AM482"/>
    </row>
    <row r="483" spans="2:39">
      <c r="B483" s="209"/>
      <c r="C483" s="209"/>
      <c r="I483"/>
      <c r="J483"/>
      <c r="K483"/>
      <c r="L483"/>
      <c r="M483"/>
      <c r="N483"/>
      <c r="Q483"/>
      <c r="R483"/>
      <c r="S483"/>
      <c r="T483"/>
      <c r="U483"/>
      <c r="V483"/>
      <c r="W483"/>
      <c r="X483"/>
      <c r="Y483"/>
      <c r="Z483"/>
      <c r="AA483"/>
      <c r="AB483"/>
      <c r="AC483"/>
      <c r="AD483"/>
      <c r="AE483"/>
      <c r="AF483"/>
      <c r="AG483"/>
      <c r="AH483"/>
      <c r="AI483"/>
      <c r="AJ483"/>
      <c r="AK483"/>
      <c r="AL483"/>
      <c r="AM483"/>
    </row>
    <row r="484" spans="2:39">
      <c r="B484" s="209"/>
      <c r="C484" s="209"/>
      <c r="I484"/>
      <c r="J484"/>
      <c r="K484"/>
      <c r="L484"/>
      <c r="M484"/>
      <c r="N484"/>
      <c r="Q484"/>
      <c r="R484"/>
      <c r="S484"/>
      <c r="T484"/>
      <c r="U484"/>
      <c r="V484"/>
      <c r="W484"/>
      <c r="X484"/>
      <c r="Y484"/>
      <c r="Z484"/>
      <c r="AA484"/>
      <c r="AB484"/>
      <c r="AC484"/>
      <c r="AD484"/>
      <c r="AE484"/>
      <c r="AF484"/>
      <c r="AG484"/>
      <c r="AH484"/>
      <c r="AI484"/>
      <c r="AJ484"/>
      <c r="AK484"/>
      <c r="AL484"/>
      <c r="AM484"/>
    </row>
    <row r="485" spans="2:39">
      <c r="B485" s="209"/>
      <c r="C485" s="209"/>
      <c r="I485"/>
      <c r="J485"/>
      <c r="K485"/>
      <c r="L485"/>
      <c r="M485"/>
      <c r="N485"/>
      <c r="Q485"/>
      <c r="R485"/>
      <c r="S485"/>
      <c r="T485"/>
      <c r="U485"/>
      <c r="V485"/>
      <c r="W485"/>
      <c r="X485"/>
      <c r="Y485"/>
      <c r="Z485"/>
      <c r="AA485"/>
      <c r="AB485"/>
      <c r="AC485"/>
      <c r="AD485"/>
      <c r="AE485"/>
      <c r="AF485"/>
      <c r="AG485"/>
      <c r="AH485"/>
      <c r="AI485"/>
      <c r="AJ485"/>
      <c r="AK485"/>
      <c r="AL485"/>
      <c r="AM485"/>
    </row>
    <row r="486" spans="2:39">
      <c r="B486" s="209"/>
      <c r="C486" s="209"/>
      <c r="I486"/>
      <c r="J486"/>
      <c r="K486"/>
      <c r="L486"/>
      <c r="M486"/>
      <c r="N486"/>
      <c r="Q486"/>
      <c r="R486"/>
      <c r="S486"/>
      <c r="T486"/>
      <c r="U486"/>
      <c r="V486"/>
      <c r="W486"/>
      <c r="X486"/>
      <c r="Y486"/>
      <c r="Z486"/>
      <c r="AA486"/>
      <c r="AB486"/>
      <c r="AC486"/>
      <c r="AD486"/>
      <c r="AE486"/>
      <c r="AF486"/>
      <c r="AG486"/>
      <c r="AH486"/>
      <c r="AI486"/>
      <c r="AJ486"/>
      <c r="AK486"/>
      <c r="AL486"/>
      <c r="AM486"/>
    </row>
    <row r="487" spans="2:39">
      <c r="B487" s="209"/>
      <c r="C487" s="209"/>
      <c r="I487"/>
      <c r="J487"/>
      <c r="K487"/>
      <c r="L487"/>
      <c r="M487"/>
      <c r="N487"/>
      <c r="Q487"/>
      <c r="R487"/>
      <c r="S487"/>
      <c r="T487"/>
      <c r="U487"/>
      <c r="V487"/>
      <c r="W487"/>
      <c r="X487"/>
      <c r="Y487"/>
      <c r="Z487"/>
      <c r="AA487"/>
      <c r="AB487"/>
      <c r="AC487"/>
      <c r="AD487"/>
      <c r="AE487"/>
      <c r="AF487"/>
      <c r="AG487"/>
      <c r="AH487"/>
      <c r="AI487"/>
      <c r="AJ487"/>
      <c r="AK487"/>
      <c r="AL487"/>
      <c r="AM487"/>
    </row>
    <row r="488" spans="2:39">
      <c r="B488" s="209"/>
      <c r="C488" s="209"/>
      <c r="I488"/>
      <c r="J488"/>
      <c r="K488"/>
      <c r="L488"/>
      <c r="M488"/>
      <c r="N488"/>
      <c r="Q488"/>
      <c r="R488"/>
      <c r="S488"/>
      <c r="T488"/>
      <c r="U488"/>
      <c r="V488"/>
      <c r="W488"/>
      <c r="X488"/>
      <c r="Y488"/>
      <c r="Z488"/>
      <c r="AA488"/>
      <c r="AB488"/>
      <c r="AC488"/>
      <c r="AD488"/>
      <c r="AE488"/>
      <c r="AF488"/>
      <c r="AG488"/>
      <c r="AH488"/>
      <c r="AI488"/>
      <c r="AJ488"/>
      <c r="AK488"/>
      <c r="AL488"/>
      <c r="AM488"/>
    </row>
    <row r="489" spans="2:39">
      <c r="B489" s="209"/>
      <c r="C489" s="209"/>
      <c r="I489"/>
      <c r="J489"/>
      <c r="K489"/>
      <c r="L489"/>
      <c r="M489"/>
      <c r="N489"/>
      <c r="Q489"/>
      <c r="R489"/>
      <c r="S489"/>
      <c r="T489"/>
      <c r="U489"/>
      <c r="V489"/>
      <c r="W489"/>
      <c r="X489"/>
      <c r="Y489"/>
      <c r="Z489"/>
      <c r="AA489"/>
      <c r="AB489"/>
      <c r="AC489"/>
      <c r="AD489"/>
      <c r="AE489"/>
      <c r="AF489"/>
      <c r="AG489"/>
      <c r="AH489"/>
      <c r="AI489"/>
      <c r="AJ489"/>
      <c r="AK489"/>
      <c r="AL489"/>
      <c r="AM489"/>
    </row>
    <row r="490" spans="2:39">
      <c r="B490" s="209"/>
      <c r="C490" s="209"/>
      <c r="I490"/>
      <c r="J490"/>
      <c r="K490"/>
      <c r="L490"/>
      <c r="M490"/>
      <c r="N490"/>
      <c r="Q490"/>
      <c r="R490"/>
      <c r="S490"/>
      <c r="T490"/>
      <c r="U490"/>
      <c r="V490"/>
      <c r="W490"/>
      <c r="X490"/>
      <c r="Y490"/>
      <c r="Z490"/>
      <c r="AA490"/>
      <c r="AB490"/>
      <c r="AC490"/>
      <c r="AD490"/>
      <c r="AE490"/>
      <c r="AF490"/>
      <c r="AG490"/>
      <c r="AH490"/>
      <c r="AI490"/>
      <c r="AJ490"/>
      <c r="AK490"/>
      <c r="AL490"/>
      <c r="AM490"/>
    </row>
    <row r="491" spans="2:39">
      <c r="B491" s="209"/>
      <c r="C491" s="209"/>
      <c r="I491"/>
      <c r="J491"/>
      <c r="K491"/>
      <c r="L491"/>
      <c r="M491"/>
      <c r="N491"/>
      <c r="Q491"/>
      <c r="R491"/>
      <c r="S491"/>
      <c r="T491"/>
      <c r="U491"/>
      <c r="V491"/>
      <c r="W491"/>
      <c r="X491"/>
      <c r="Y491"/>
      <c r="Z491"/>
      <c r="AA491"/>
      <c r="AB491"/>
      <c r="AC491"/>
      <c r="AD491"/>
      <c r="AE491"/>
      <c r="AF491"/>
      <c r="AG491"/>
      <c r="AH491"/>
      <c r="AI491"/>
      <c r="AJ491"/>
      <c r="AK491"/>
      <c r="AL491"/>
      <c r="AM491"/>
    </row>
    <row r="492" spans="2:39">
      <c r="B492" s="209"/>
      <c r="C492" s="209"/>
      <c r="I492"/>
      <c r="J492"/>
      <c r="K492"/>
      <c r="L492"/>
      <c r="M492"/>
      <c r="N492"/>
      <c r="Q492"/>
      <c r="R492"/>
      <c r="S492"/>
      <c r="T492"/>
      <c r="U492"/>
      <c r="V492"/>
      <c r="W492"/>
      <c r="X492"/>
      <c r="Y492"/>
      <c r="Z492"/>
      <c r="AA492"/>
      <c r="AB492"/>
      <c r="AC492"/>
      <c r="AD492"/>
      <c r="AE492"/>
      <c r="AF492"/>
      <c r="AG492"/>
      <c r="AH492"/>
      <c r="AI492"/>
      <c r="AJ492"/>
      <c r="AK492"/>
      <c r="AL492"/>
      <c r="AM492"/>
    </row>
    <row r="493" spans="2:39">
      <c r="B493" s="209"/>
      <c r="C493" s="209"/>
      <c r="I493"/>
      <c r="J493"/>
      <c r="K493"/>
      <c r="L493"/>
      <c r="M493"/>
      <c r="N493"/>
      <c r="Q493"/>
      <c r="R493"/>
      <c r="S493"/>
      <c r="T493"/>
      <c r="U493"/>
      <c r="V493"/>
      <c r="W493"/>
      <c r="X493"/>
      <c r="Y493"/>
      <c r="Z493"/>
      <c r="AA493"/>
      <c r="AB493"/>
      <c r="AC493"/>
      <c r="AD493"/>
      <c r="AE493"/>
      <c r="AF493"/>
      <c r="AG493"/>
      <c r="AH493"/>
      <c r="AI493"/>
      <c r="AJ493"/>
      <c r="AK493"/>
      <c r="AL493"/>
      <c r="AM493"/>
    </row>
    <row r="494" spans="2:39">
      <c r="B494" s="209"/>
      <c r="C494" s="209"/>
      <c r="I494"/>
      <c r="J494"/>
      <c r="K494"/>
      <c r="L494"/>
      <c r="M494"/>
      <c r="N494"/>
      <c r="Q494"/>
      <c r="R494"/>
      <c r="S494"/>
      <c r="T494"/>
      <c r="U494"/>
      <c r="V494"/>
      <c r="W494"/>
      <c r="X494"/>
      <c r="Y494"/>
      <c r="Z494"/>
      <c r="AA494"/>
      <c r="AB494"/>
      <c r="AC494"/>
      <c r="AD494"/>
      <c r="AE494"/>
      <c r="AF494"/>
      <c r="AG494"/>
      <c r="AH494"/>
      <c r="AI494"/>
      <c r="AJ494"/>
      <c r="AK494"/>
      <c r="AL494"/>
      <c r="AM494"/>
    </row>
    <row r="495" spans="2:39">
      <c r="B495" s="209"/>
      <c r="C495" s="209"/>
      <c r="I495"/>
      <c r="J495"/>
      <c r="K495"/>
      <c r="L495"/>
      <c r="M495"/>
      <c r="N495"/>
      <c r="Q495"/>
      <c r="R495"/>
      <c r="S495"/>
      <c r="T495"/>
      <c r="U495"/>
      <c r="V495"/>
      <c r="W495"/>
      <c r="X495"/>
      <c r="Y495"/>
      <c r="Z495"/>
      <c r="AA495"/>
      <c r="AB495"/>
      <c r="AC495"/>
      <c r="AD495"/>
      <c r="AE495"/>
      <c r="AF495"/>
      <c r="AG495"/>
      <c r="AH495"/>
      <c r="AI495"/>
      <c r="AJ495"/>
      <c r="AK495"/>
      <c r="AL495"/>
      <c r="AM495"/>
    </row>
    <row r="496" spans="2:39">
      <c r="B496" s="209"/>
      <c r="C496" s="209"/>
      <c r="I496"/>
      <c r="J496"/>
      <c r="K496"/>
      <c r="L496"/>
      <c r="M496"/>
      <c r="N496"/>
      <c r="Q496"/>
      <c r="R496"/>
      <c r="S496"/>
      <c r="T496"/>
      <c r="U496"/>
      <c r="V496"/>
      <c r="W496"/>
      <c r="X496"/>
      <c r="Y496"/>
      <c r="Z496"/>
      <c r="AA496"/>
      <c r="AB496"/>
      <c r="AC496"/>
      <c r="AD496"/>
      <c r="AE496"/>
      <c r="AF496"/>
      <c r="AG496"/>
      <c r="AH496"/>
      <c r="AI496"/>
      <c r="AJ496"/>
      <c r="AK496"/>
      <c r="AL496"/>
      <c r="AM496"/>
    </row>
    <row r="497" spans="2:39">
      <c r="B497" s="209"/>
      <c r="C497" s="209"/>
      <c r="I497"/>
      <c r="J497"/>
      <c r="K497"/>
      <c r="L497"/>
      <c r="M497"/>
      <c r="N497"/>
      <c r="Q497"/>
      <c r="R497"/>
      <c r="S497"/>
      <c r="T497"/>
      <c r="U497"/>
      <c r="V497"/>
      <c r="W497"/>
      <c r="X497"/>
      <c r="Y497"/>
      <c r="Z497"/>
      <c r="AA497"/>
      <c r="AB497"/>
      <c r="AC497"/>
      <c r="AD497"/>
      <c r="AE497"/>
      <c r="AF497"/>
      <c r="AG497"/>
      <c r="AH497"/>
      <c r="AI497"/>
      <c r="AJ497"/>
      <c r="AK497"/>
      <c r="AL497"/>
      <c r="AM497"/>
    </row>
    <row r="498" spans="2:39">
      <c r="B498" s="209"/>
      <c r="C498" s="209"/>
      <c r="I498"/>
      <c r="J498"/>
      <c r="K498"/>
      <c r="L498"/>
      <c r="M498"/>
      <c r="N498"/>
      <c r="Q498"/>
      <c r="R498"/>
      <c r="S498"/>
      <c r="T498"/>
      <c r="U498"/>
      <c r="V498"/>
      <c r="W498"/>
      <c r="X498"/>
      <c r="Y498"/>
      <c r="Z498"/>
      <c r="AA498"/>
      <c r="AB498"/>
      <c r="AC498"/>
      <c r="AD498"/>
      <c r="AE498"/>
      <c r="AF498"/>
      <c r="AG498"/>
      <c r="AH498"/>
      <c r="AI498"/>
      <c r="AJ498"/>
      <c r="AK498"/>
      <c r="AL498"/>
      <c r="AM498"/>
    </row>
    <row r="499" spans="2:39">
      <c r="B499" s="209"/>
      <c r="C499" s="209"/>
      <c r="I499"/>
      <c r="J499"/>
      <c r="K499"/>
      <c r="L499"/>
      <c r="M499"/>
      <c r="N499"/>
      <c r="Q499"/>
      <c r="R499"/>
      <c r="S499"/>
      <c r="T499"/>
      <c r="U499"/>
      <c r="V499"/>
      <c r="W499"/>
      <c r="X499"/>
      <c r="Y499"/>
      <c r="Z499"/>
      <c r="AA499"/>
      <c r="AB499"/>
      <c r="AC499"/>
      <c r="AD499"/>
      <c r="AE499"/>
      <c r="AF499"/>
      <c r="AG499"/>
      <c r="AH499"/>
      <c r="AI499"/>
      <c r="AJ499"/>
      <c r="AK499"/>
      <c r="AL499"/>
      <c r="AM499"/>
    </row>
    <row r="500" spans="2:39">
      <c r="B500" s="209"/>
      <c r="C500" s="209"/>
      <c r="I500"/>
      <c r="J500"/>
      <c r="K500"/>
      <c r="L500"/>
      <c r="M500"/>
      <c r="N500"/>
      <c r="Q500"/>
      <c r="R500"/>
      <c r="S500"/>
      <c r="T500"/>
      <c r="U500"/>
      <c r="V500"/>
      <c r="W500"/>
      <c r="X500"/>
      <c r="Y500"/>
      <c r="Z500"/>
      <c r="AA500"/>
      <c r="AB500"/>
      <c r="AC500"/>
      <c r="AD500"/>
      <c r="AE500"/>
      <c r="AF500"/>
      <c r="AG500"/>
      <c r="AH500"/>
      <c r="AI500"/>
      <c r="AJ500"/>
      <c r="AK500"/>
      <c r="AL500"/>
      <c r="AM500"/>
    </row>
    <row r="501" spans="2:39">
      <c r="B501" s="209"/>
      <c r="C501" s="209"/>
      <c r="I501"/>
      <c r="J501"/>
      <c r="K501"/>
      <c r="L501"/>
      <c r="M501"/>
      <c r="N501"/>
      <c r="Q501"/>
      <c r="R501"/>
      <c r="S501"/>
      <c r="T501"/>
      <c r="U501"/>
      <c r="V501"/>
      <c r="W501"/>
      <c r="X501"/>
      <c r="Y501"/>
      <c r="Z501"/>
      <c r="AA501"/>
      <c r="AB501"/>
      <c r="AC501"/>
      <c r="AD501"/>
      <c r="AE501"/>
      <c r="AF501"/>
      <c r="AG501"/>
      <c r="AH501"/>
      <c r="AI501"/>
      <c r="AJ501"/>
      <c r="AK501"/>
      <c r="AL501"/>
      <c r="AM501"/>
    </row>
    <row r="502" spans="2:39">
      <c r="B502" s="209"/>
      <c r="C502" s="209"/>
      <c r="I502"/>
      <c r="J502"/>
      <c r="K502"/>
      <c r="L502"/>
      <c r="M502"/>
      <c r="N502"/>
      <c r="Q502"/>
      <c r="R502"/>
      <c r="S502"/>
      <c r="T502"/>
      <c r="U502"/>
      <c r="V502"/>
      <c r="W502"/>
      <c r="X502"/>
      <c r="Y502"/>
      <c r="Z502"/>
      <c r="AA502"/>
      <c r="AB502"/>
      <c r="AC502"/>
      <c r="AD502"/>
      <c r="AE502"/>
      <c r="AF502"/>
      <c r="AG502"/>
      <c r="AH502"/>
      <c r="AI502"/>
      <c r="AJ502"/>
      <c r="AK502"/>
      <c r="AL502"/>
      <c r="AM502"/>
    </row>
    <row r="503" spans="2:39">
      <c r="B503" s="209"/>
      <c r="C503" s="209"/>
      <c r="I503"/>
      <c r="J503"/>
      <c r="K503"/>
      <c r="L503"/>
      <c r="M503"/>
      <c r="N503"/>
      <c r="Q503"/>
      <c r="R503"/>
      <c r="S503"/>
      <c r="T503"/>
      <c r="U503"/>
      <c r="V503"/>
      <c r="W503"/>
      <c r="X503"/>
      <c r="Y503"/>
      <c r="Z503"/>
      <c r="AA503"/>
      <c r="AB503"/>
      <c r="AC503"/>
      <c r="AD503"/>
      <c r="AE503"/>
      <c r="AF503"/>
      <c r="AG503"/>
      <c r="AH503"/>
      <c r="AI503"/>
      <c r="AJ503"/>
      <c r="AK503"/>
      <c r="AL503"/>
      <c r="AM503"/>
    </row>
    <row r="504" spans="2:39">
      <c r="B504" s="209"/>
      <c r="C504" s="209"/>
      <c r="I504"/>
      <c r="J504"/>
      <c r="K504"/>
      <c r="L504"/>
      <c r="M504"/>
      <c r="N504"/>
      <c r="Q504"/>
      <c r="R504"/>
      <c r="S504"/>
      <c r="T504"/>
      <c r="U504"/>
      <c r="V504"/>
      <c r="W504"/>
      <c r="X504"/>
      <c r="Y504"/>
      <c r="Z504"/>
      <c r="AA504"/>
      <c r="AB504"/>
      <c r="AC504"/>
      <c r="AD504"/>
      <c r="AE504"/>
      <c r="AF504"/>
      <c r="AG504"/>
      <c r="AH504"/>
      <c r="AI504"/>
      <c r="AJ504"/>
      <c r="AK504"/>
      <c r="AL504"/>
      <c r="AM504"/>
    </row>
    <row r="505" spans="2:39">
      <c r="B505" s="209"/>
      <c r="C505" s="209"/>
      <c r="I505"/>
      <c r="J505"/>
      <c r="K505"/>
      <c r="L505"/>
      <c r="M505"/>
      <c r="N505"/>
      <c r="Q505"/>
      <c r="R505"/>
      <c r="S505"/>
      <c r="T505"/>
      <c r="U505"/>
      <c r="V505"/>
      <c r="W505"/>
      <c r="X505"/>
      <c r="Y505"/>
      <c r="Z505"/>
      <c r="AA505"/>
      <c r="AB505"/>
      <c r="AC505"/>
      <c r="AD505"/>
      <c r="AE505"/>
      <c r="AF505"/>
      <c r="AG505"/>
      <c r="AH505"/>
      <c r="AI505"/>
      <c r="AJ505"/>
      <c r="AK505"/>
      <c r="AL505"/>
      <c r="AM505"/>
    </row>
    <row r="506" spans="2:39">
      <c r="B506" s="209"/>
      <c r="C506" s="209"/>
      <c r="I506"/>
      <c r="J506"/>
      <c r="K506"/>
      <c r="L506"/>
      <c r="M506"/>
      <c r="N506"/>
      <c r="Q506"/>
      <c r="R506"/>
      <c r="S506"/>
      <c r="T506"/>
      <c r="U506"/>
      <c r="V506"/>
      <c r="W506"/>
      <c r="X506"/>
      <c r="Y506"/>
      <c r="Z506"/>
      <c r="AA506"/>
      <c r="AB506"/>
      <c r="AC506"/>
      <c r="AD506"/>
      <c r="AE506"/>
      <c r="AF506"/>
      <c r="AG506"/>
      <c r="AH506"/>
      <c r="AI506"/>
      <c r="AJ506"/>
      <c r="AK506"/>
      <c r="AL506"/>
      <c r="AM506"/>
    </row>
    <row r="507" spans="2:39">
      <c r="B507" s="209"/>
      <c r="C507" s="209"/>
      <c r="I507"/>
      <c r="J507"/>
      <c r="K507"/>
      <c r="L507"/>
      <c r="M507"/>
      <c r="N507"/>
      <c r="Q507"/>
      <c r="R507"/>
      <c r="S507"/>
      <c r="T507"/>
      <c r="U507"/>
      <c r="V507"/>
      <c r="W507"/>
      <c r="X507"/>
      <c r="Y507"/>
      <c r="Z507"/>
      <c r="AA507"/>
      <c r="AB507"/>
      <c r="AC507"/>
      <c r="AD507"/>
      <c r="AE507"/>
      <c r="AF507"/>
      <c r="AG507"/>
      <c r="AH507"/>
      <c r="AI507"/>
      <c r="AJ507"/>
      <c r="AK507"/>
      <c r="AL507"/>
      <c r="AM507"/>
    </row>
    <row r="508" spans="2:39">
      <c r="B508" s="209"/>
      <c r="C508" s="209"/>
      <c r="I508"/>
      <c r="J508"/>
      <c r="K508"/>
      <c r="L508"/>
      <c r="M508"/>
      <c r="N508"/>
      <c r="Q508"/>
      <c r="R508"/>
      <c r="S508"/>
      <c r="T508"/>
      <c r="U508"/>
      <c r="V508"/>
      <c r="W508"/>
      <c r="X508"/>
      <c r="Y508"/>
      <c r="Z508"/>
      <c r="AA508"/>
      <c r="AB508"/>
      <c r="AC508"/>
      <c r="AD508"/>
      <c r="AE508"/>
      <c r="AF508"/>
      <c r="AG508"/>
      <c r="AH508"/>
      <c r="AI508"/>
      <c r="AJ508"/>
      <c r="AK508"/>
      <c r="AL508"/>
      <c r="AM508"/>
    </row>
    <row r="509" spans="2:39">
      <c r="B509" s="209"/>
      <c r="C509" s="209"/>
      <c r="I509"/>
      <c r="J509"/>
      <c r="K509"/>
      <c r="L509"/>
      <c r="M509"/>
      <c r="N509"/>
      <c r="Q509"/>
      <c r="R509"/>
      <c r="S509"/>
      <c r="T509"/>
      <c r="U509"/>
      <c r="V509"/>
      <c r="W509"/>
      <c r="X509"/>
      <c r="Y509"/>
      <c r="Z509"/>
      <c r="AA509"/>
      <c r="AB509"/>
      <c r="AC509"/>
      <c r="AD509"/>
      <c r="AE509"/>
      <c r="AF509"/>
      <c r="AG509"/>
      <c r="AH509"/>
      <c r="AI509"/>
      <c r="AJ509"/>
      <c r="AK509"/>
      <c r="AL509"/>
      <c r="AM509"/>
    </row>
    <row r="510" spans="2:39">
      <c r="B510" s="209"/>
      <c r="C510" s="209"/>
      <c r="I510"/>
      <c r="J510"/>
      <c r="K510"/>
      <c r="L510"/>
      <c r="M510"/>
      <c r="N510"/>
      <c r="Q510"/>
      <c r="R510"/>
      <c r="S510"/>
      <c r="T510"/>
      <c r="U510"/>
      <c r="V510"/>
      <c r="W510"/>
      <c r="X510"/>
      <c r="Y510"/>
      <c r="Z510"/>
      <c r="AA510"/>
      <c r="AB510"/>
      <c r="AC510"/>
      <c r="AD510"/>
      <c r="AE510"/>
      <c r="AF510"/>
      <c r="AG510"/>
      <c r="AH510"/>
      <c r="AI510"/>
      <c r="AJ510"/>
      <c r="AK510"/>
      <c r="AL510"/>
      <c r="AM510"/>
    </row>
    <row r="511" spans="2:39">
      <c r="B511" s="209"/>
      <c r="C511" s="209"/>
      <c r="I511"/>
      <c r="J511"/>
      <c r="K511"/>
      <c r="L511"/>
      <c r="M511"/>
      <c r="N511"/>
      <c r="Q511"/>
      <c r="R511"/>
      <c r="S511"/>
      <c r="T511"/>
      <c r="U511"/>
      <c r="V511"/>
      <c r="W511"/>
      <c r="X511"/>
      <c r="Y511"/>
      <c r="Z511"/>
      <c r="AA511"/>
      <c r="AB511"/>
      <c r="AC511"/>
      <c r="AD511"/>
      <c r="AE511"/>
      <c r="AF511"/>
      <c r="AG511"/>
      <c r="AH511"/>
      <c r="AI511"/>
      <c r="AJ511"/>
      <c r="AK511"/>
      <c r="AL511"/>
      <c r="AM511"/>
    </row>
    <row r="512" spans="2:39">
      <c r="B512" s="209"/>
      <c r="C512" s="209"/>
      <c r="I512"/>
      <c r="J512"/>
      <c r="K512"/>
      <c r="L512"/>
      <c r="M512"/>
      <c r="N512"/>
      <c r="Q512"/>
      <c r="R512"/>
      <c r="S512"/>
      <c r="T512"/>
      <c r="U512"/>
      <c r="V512"/>
      <c r="W512"/>
      <c r="X512"/>
      <c r="Y512"/>
      <c r="Z512"/>
      <c r="AA512"/>
      <c r="AB512"/>
      <c r="AC512"/>
      <c r="AD512"/>
      <c r="AE512"/>
      <c r="AF512"/>
      <c r="AG512"/>
      <c r="AH512"/>
      <c r="AI512"/>
      <c r="AJ512"/>
      <c r="AK512"/>
      <c r="AL512"/>
      <c r="AM512"/>
    </row>
    <row r="513" spans="2:39">
      <c r="B513" s="209"/>
      <c r="C513" s="209"/>
      <c r="I513"/>
      <c r="J513"/>
      <c r="K513"/>
      <c r="L513"/>
      <c r="M513"/>
      <c r="N513"/>
      <c r="Q513"/>
      <c r="R513"/>
      <c r="S513"/>
      <c r="T513"/>
      <c r="U513"/>
      <c r="V513"/>
      <c r="W513"/>
      <c r="X513"/>
      <c r="Y513"/>
      <c r="Z513"/>
      <c r="AA513"/>
      <c r="AB513"/>
      <c r="AC513"/>
      <c r="AD513"/>
      <c r="AE513"/>
      <c r="AF513"/>
      <c r="AG513"/>
      <c r="AH513"/>
      <c r="AI513"/>
      <c r="AJ513"/>
      <c r="AK513"/>
      <c r="AL513"/>
      <c r="AM513"/>
    </row>
    <row r="514" spans="2:39">
      <c r="B514" s="209"/>
      <c r="C514" s="209"/>
      <c r="I514"/>
      <c r="J514"/>
      <c r="K514"/>
      <c r="L514"/>
      <c r="M514"/>
      <c r="N514"/>
      <c r="Q514"/>
      <c r="R514"/>
      <c r="S514"/>
      <c r="T514"/>
      <c r="U514"/>
      <c r="V514"/>
      <c r="W514"/>
      <c r="X514"/>
      <c r="Y514"/>
      <c r="Z514"/>
      <c r="AA514"/>
      <c r="AB514"/>
      <c r="AC514"/>
      <c r="AD514"/>
      <c r="AE514"/>
      <c r="AF514"/>
      <c r="AG514"/>
      <c r="AH514"/>
      <c r="AI514"/>
      <c r="AJ514"/>
      <c r="AK514"/>
      <c r="AL514"/>
      <c r="AM514"/>
    </row>
    <row r="515" spans="2:39">
      <c r="B515" s="209"/>
      <c r="C515" s="209"/>
      <c r="I515"/>
      <c r="J515"/>
      <c r="K515"/>
      <c r="L515"/>
      <c r="M515"/>
      <c r="N515"/>
      <c r="Q515"/>
      <c r="R515"/>
      <c r="S515"/>
      <c r="T515"/>
      <c r="U515"/>
      <c r="V515"/>
      <c r="W515"/>
      <c r="X515"/>
      <c r="Y515"/>
      <c r="Z515"/>
      <c r="AA515"/>
      <c r="AB515"/>
      <c r="AC515"/>
      <c r="AD515"/>
      <c r="AE515"/>
      <c r="AF515"/>
      <c r="AG515"/>
      <c r="AH515"/>
      <c r="AI515"/>
      <c r="AJ515"/>
      <c r="AK515"/>
      <c r="AL515"/>
      <c r="AM515"/>
    </row>
    <row r="516" spans="2:39">
      <c r="B516" s="209"/>
      <c r="C516" s="209"/>
      <c r="I516"/>
      <c r="J516"/>
      <c r="K516"/>
      <c r="L516"/>
      <c r="M516"/>
      <c r="N516"/>
      <c r="Q516"/>
      <c r="R516"/>
      <c r="S516"/>
      <c r="T516"/>
      <c r="U516"/>
      <c r="V516"/>
      <c r="W516"/>
      <c r="X516"/>
      <c r="Y516"/>
      <c r="Z516"/>
      <c r="AA516"/>
      <c r="AB516"/>
      <c r="AC516"/>
      <c r="AD516"/>
      <c r="AE516"/>
      <c r="AF516"/>
      <c r="AG516"/>
      <c r="AH516"/>
      <c r="AI516"/>
      <c r="AJ516"/>
      <c r="AK516"/>
      <c r="AL516"/>
      <c r="AM516"/>
    </row>
    <row r="517" spans="2:39">
      <c r="B517" s="209"/>
      <c r="C517" s="209"/>
      <c r="I517"/>
      <c r="J517"/>
      <c r="K517"/>
      <c r="L517"/>
      <c r="M517"/>
      <c r="N517"/>
      <c r="Q517"/>
      <c r="R517"/>
      <c r="S517"/>
      <c r="T517"/>
      <c r="U517"/>
      <c r="V517"/>
      <c r="W517"/>
      <c r="X517"/>
      <c r="Y517"/>
      <c r="Z517"/>
      <c r="AA517"/>
      <c r="AB517"/>
      <c r="AC517"/>
      <c r="AD517"/>
      <c r="AE517"/>
      <c r="AF517"/>
      <c r="AG517"/>
      <c r="AH517"/>
      <c r="AI517"/>
      <c r="AJ517"/>
      <c r="AK517"/>
      <c r="AL517"/>
      <c r="AM517"/>
    </row>
    <row r="518" spans="2:39">
      <c r="B518" s="209"/>
      <c r="C518" s="209"/>
      <c r="I518"/>
      <c r="J518"/>
      <c r="K518"/>
      <c r="L518"/>
      <c r="M518"/>
      <c r="N518"/>
      <c r="Q518"/>
      <c r="R518"/>
      <c r="S518"/>
      <c r="T518"/>
      <c r="U518"/>
      <c r="V518"/>
      <c r="W518"/>
      <c r="X518"/>
      <c r="Y518"/>
      <c r="Z518"/>
      <c r="AA518"/>
      <c r="AB518"/>
      <c r="AC518"/>
      <c r="AD518"/>
      <c r="AE518"/>
      <c r="AF518"/>
      <c r="AG518"/>
      <c r="AH518"/>
      <c r="AI518"/>
      <c r="AJ518"/>
      <c r="AK518"/>
      <c r="AL518"/>
      <c r="AM518"/>
    </row>
    <row r="519" spans="2:39">
      <c r="B519" s="209"/>
      <c r="C519" s="209"/>
      <c r="I519"/>
      <c r="J519"/>
      <c r="K519"/>
      <c r="L519"/>
      <c r="M519"/>
      <c r="N519"/>
      <c r="Q519"/>
      <c r="R519"/>
      <c r="S519"/>
      <c r="T519"/>
      <c r="U519"/>
      <c r="V519"/>
      <c r="W519"/>
      <c r="X519"/>
      <c r="Y519"/>
      <c r="Z519"/>
      <c r="AA519"/>
      <c r="AB519"/>
      <c r="AC519"/>
      <c r="AD519"/>
      <c r="AE519"/>
      <c r="AF519"/>
      <c r="AG519"/>
      <c r="AH519"/>
      <c r="AI519"/>
      <c r="AJ519"/>
      <c r="AK519"/>
      <c r="AL519"/>
      <c r="AM519"/>
    </row>
    <row r="520" spans="2:39">
      <c r="B520" s="209"/>
      <c r="C520" s="209"/>
      <c r="I520"/>
      <c r="J520"/>
      <c r="K520"/>
      <c r="L520"/>
      <c r="M520"/>
      <c r="N520"/>
      <c r="Q520"/>
      <c r="R520"/>
      <c r="S520"/>
      <c r="T520"/>
      <c r="U520"/>
      <c r="V520"/>
      <c r="W520"/>
      <c r="X520"/>
      <c r="Y520"/>
      <c r="Z520"/>
      <c r="AA520"/>
      <c r="AB520"/>
      <c r="AC520"/>
      <c r="AD520"/>
      <c r="AE520"/>
      <c r="AF520"/>
      <c r="AG520"/>
      <c r="AH520"/>
      <c r="AI520"/>
      <c r="AJ520"/>
      <c r="AK520"/>
      <c r="AL520"/>
      <c r="AM520"/>
    </row>
    <row r="521" spans="2:39">
      <c r="B521" s="209"/>
      <c r="C521" s="209"/>
      <c r="I521"/>
      <c r="J521"/>
      <c r="K521"/>
      <c r="L521"/>
      <c r="M521"/>
      <c r="N521"/>
      <c r="Q521"/>
      <c r="R521"/>
      <c r="S521"/>
      <c r="T521"/>
      <c r="U521"/>
      <c r="V521"/>
      <c r="W521"/>
      <c r="X521"/>
      <c r="Y521"/>
      <c r="Z521"/>
      <c r="AA521"/>
      <c r="AB521"/>
      <c r="AC521"/>
      <c r="AD521"/>
      <c r="AE521"/>
      <c r="AF521"/>
      <c r="AG521"/>
      <c r="AH521"/>
      <c r="AI521"/>
      <c r="AJ521"/>
      <c r="AK521"/>
      <c r="AL521"/>
      <c r="AM521"/>
    </row>
    <row r="522" spans="2:39">
      <c r="B522" s="209"/>
      <c r="C522" s="209"/>
      <c r="I522"/>
      <c r="J522"/>
      <c r="K522"/>
      <c r="L522"/>
      <c r="M522"/>
      <c r="N522"/>
      <c r="Q522"/>
      <c r="R522"/>
      <c r="S522"/>
      <c r="T522"/>
      <c r="U522"/>
      <c r="V522"/>
      <c r="W522"/>
      <c r="X522"/>
      <c r="Y522"/>
      <c r="Z522"/>
      <c r="AA522"/>
      <c r="AB522"/>
      <c r="AC522"/>
      <c r="AD522"/>
      <c r="AE522"/>
      <c r="AF522"/>
      <c r="AG522"/>
      <c r="AH522"/>
      <c r="AI522"/>
      <c r="AJ522"/>
      <c r="AK522"/>
      <c r="AL522"/>
      <c r="AM522"/>
    </row>
    <row r="523" spans="2:39">
      <c r="B523" s="209"/>
      <c r="C523" s="209"/>
      <c r="I523"/>
      <c r="J523"/>
      <c r="K523"/>
      <c r="L523"/>
      <c r="M523"/>
      <c r="N523"/>
      <c r="Q523"/>
      <c r="R523"/>
      <c r="S523"/>
      <c r="T523"/>
      <c r="U523"/>
      <c r="V523"/>
      <c r="W523"/>
      <c r="X523"/>
      <c r="Y523"/>
      <c r="Z523"/>
      <c r="AA523"/>
      <c r="AB523"/>
      <c r="AC523"/>
      <c r="AD523"/>
      <c r="AE523"/>
      <c r="AF523"/>
      <c r="AG523"/>
      <c r="AH523"/>
      <c r="AI523"/>
      <c r="AJ523"/>
      <c r="AK523"/>
      <c r="AL523"/>
      <c r="AM523"/>
    </row>
    <row r="524" spans="2:39">
      <c r="B524" s="209"/>
      <c r="C524" s="209"/>
      <c r="I524"/>
      <c r="J524"/>
      <c r="K524"/>
      <c r="L524"/>
      <c r="M524"/>
      <c r="N524"/>
      <c r="Q524"/>
      <c r="R524"/>
      <c r="S524"/>
      <c r="T524"/>
      <c r="U524"/>
      <c r="V524"/>
      <c r="W524"/>
      <c r="X524"/>
      <c r="Y524"/>
      <c r="Z524"/>
      <c r="AA524"/>
      <c r="AB524"/>
      <c r="AC524"/>
      <c r="AD524"/>
      <c r="AE524"/>
      <c r="AF524"/>
      <c r="AG524"/>
      <c r="AH524"/>
      <c r="AI524"/>
      <c r="AJ524"/>
      <c r="AK524"/>
      <c r="AL524"/>
      <c r="AM524"/>
    </row>
    <row r="525" spans="2:39">
      <c r="B525" s="209"/>
      <c r="C525" s="209"/>
      <c r="I525"/>
      <c r="J525"/>
      <c r="K525"/>
      <c r="L525"/>
      <c r="M525"/>
      <c r="N525"/>
      <c r="Q525"/>
      <c r="R525"/>
      <c r="S525"/>
      <c r="T525"/>
      <c r="U525"/>
      <c r="V525"/>
      <c r="W525"/>
      <c r="X525"/>
      <c r="Y525"/>
      <c r="Z525"/>
      <c r="AA525"/>
      <c r="AB525"/>
      <c r="AC525"/>
      <c r="AD525"/>
      <c r="AE525"/>
      <c r="AF525"/>
      <c r="AG525"/>
      <c r="AH525"/>
      <c r="AI525"/>
      <c r="AJ525"/>
      <c r="AK525"/>
      <c r="AL525"/>
      <c r="AM525"/>
    </row>
    <row r="526" spans="2:39">
      <c r="B526" s="209"/>
      <c r="C526" s="209"/>
      <c r="I526"/>
      <c r="J526"/>
      <c r="K526"/>
      <c r="L526"/>
      <c r="M526"/>
      <c r="N526"/>
      <c r="Q526"/>
      <c r="R526"/>
      <c r="S526"/>
      <c r="T526"/>
      <c r="U526"/>
      <c r="V526"/>
      <c r="W526"/>
      <c r="X526"/>
      <c r="Y526"/>
      <c r="Z526"/>
      <c r="AA526"/>
      <c r="AB526"/>
      <c r="AC526"/>
      <c r="AD526"/>
      <c r="AE526"/>
      <c r="AF526"/>
      <c r="AG526"/>
      <c r="AH526"/>
      <c r="AI526"/>
      <c r="AJ526"/>
      <c r="AK526"/>
      <c r="AL526"/>
      <c r="AM526"/>
    </row>
    <row r="527" spans="2:39">
      <c r="B527" s="209"/>
      <c r="C527" s="209"/>
      <c r="I527"/>
      <c r="J527"/>
      <c r="K527"/>
      <c r="L527"/>
      <c r="M527"/>
      <c r="N527"/>
      <c r="Q527"/>
      <c r="R527"/>
      <c r="S527"/>
      <c r="T527"/>
      <c r="U527"/>
      <c r="V527"/>
      <c r="W527"/>
      <c r="X527"/>
      <c r="Y527"/>
      <c r="Z527"/>
      <c r="AA527"/>
      <c r="AB527"/>
      <c r="AC527"/>
      <c r="AD527"/>
      <c r="AE527"/>
      <c r="AF527"/>
      <c r="AG527"/>
      <c r="AH527"/>
      <c r="AI527"/>
      <c r="AJ527"/>
      <c r="AK527"/>
      <c r="AL527"/>
      <c r="AM527"/>
    </row>
    <row r="528" spans="2:39">
      <c r="B528" s="209"/>
      <c r="C528" s="209"/>
      <c r="I528"/>
      <c r="J528"/>
      <c r="K528"/>
      <c r="L528"/>
      <c r="M528"/>
      <c r="N528"/>
      <c r="Q528"/>
      <c r="R528"/>
      <c r="S528"/>
      <c r="T528"/>
      <c r="U528"/>
      <c r="V528"/>
      <c r="W528"/>
      <c r="X528"/>
      <c r="Y528"/>
      <c r="Z528"/>
      <c r="AA528"/>
      <c r="AB528"/>
      <c r="AC528"/>
      <c r="AD528"/>
      <c r="AE528"/>
      <c r="AF528"/>
      <c r="AG528"/>
      <c r="AH528"/>
      <c r="AI528"/>
      <c r="AJ528"/>
      <c r="AK528"/>
      <c r="AL528"/>
      <c r="AM528"/>
    </row>
    <row r="529" spans="2:39">
      <c r="B529" s="209"/>
      <c r="C529" s="209"/>
      <c r="I529"/>
      <c r="J529"/>
      <c r="K529"/>
      <c r="L529"/>
      <c r="M529"/>
      <c r="N529"/>
      <c r="Q529"/>
      <c r="R529"/>
      <c r="S529"/>
      <c r="T529"/>
      <c r="U529"/>
      <c r="V529"/>
      <c r="W529"/>
      <c r="X529"/>
      <c r="Y529"/>
      <c r="Z529"/>
      <c r="AA529"/>
      <c r="AB529"/>
      <c r="AC529"/>
      <c r="AD529"/>
      <c r="AE529"/>
      <c r="AF529"/>
      <c r="AG529"/>
      <c r="AH529"/>
      <c r="AI529"/>
      <c r="AJ529"/>
      <c r="AK529"/>
      <c r="AL529"/>
      <c r="AM529"/>
    </row>
    <row r="530" spans="2:39">
      <c r="B530" s="209"/>
      <c r="C530" s="209"/>
      <c r="I530"/>
      <c r="J530"/>
      <c r="K530"/>
      <c r="L530"/>
      <c r="M530"/>
      <c r="N530"/>
      <c r="Q530"/>
      <c r="R530"/>
      <c r="S530"/>
      <c r="T530"/>
      <c r="U530"/>
      <c r="V530"/>
      <c r="W530"/>
      <c r="X530"/>
      <c r="Y530"/>
      <c r="Z530"/>
      <c r="AA530"/>
      <c r="AB530"/>
      <c r="AC530"/>
      <c r="AD530"/>
      <c r="AE530"/>
      <c r="AF530"/>
      <c r="AG530"/>
      <c r="AH530"/>
      <c r="AI530"/>
      <c r="AJ530"/>
      <c r="AK530"/>
      <c r="AL530"/>
      <c r="AM530"/>
    </row>
    <row r="531" spans="2:39">
      <c r="B531" s="209"/>
      <c r="C531" s="209"/>
      <c r="I531"/>
      <c r="J531"/>
      <c r="K531"/>
      <c r="L531"/>
      <c r="M531"/>
      <c r="N531"/>
      <c r="Q531"/>
      <c r="R531"/>
      <c r="S531"/>
      <c r="T531"/>
      <c r="U531"/>
      <c r="V531"/>
      <c r="W531"/>
      <c r="X531"/>
      <c r="Y531"/>
      <c r="Z531"/>
      <c r="AA531"/>
      <c r="AB531"/>
      <c r="AC531"/>
      <c r="AD531"/>
      <c r="AE531"/>
      <c r="AF531"/>
      <c r="AG531"/>
      <c r="AH531"/>
      <c r="AI531"/>
      <c r="AJ531"/>
      <c r="AK531"/>
      <c r="AL531"/>
      <c r="AM531"/>
    </row>
    <row r="532" spans="2:39">
      <c r="B532" s="209"/>
      <c r="C532" s="209"/>
      <c r="I532"/>
      <c r="J532"/>
      <c r="K532"/>
      <c r="L532"/>
      <c r="M532"/>
      <c r="N532"/>
      <c r="Q532"/>
      <c r="R532"/>
      <c r="S532"/>
      <c r="T532"/>
      <c r="U532"/>
      <c r="V532"/>
      <c r="W532"/>
      <c r="X532"/>
      <c r="Y532"/>
      <c r="Z532"/>
      <c r="AA532"/>
      <c r="AB532"/>
      <c r="AC532"/>
      <c r="AD532"/>
      <c r="AE532"/>
      <c r="AF532"/>
      <c r="AG532"/>
      <c r="AH532"/>
      <c r="AI532"/>
      <c r="AJ532"/>
      <c r="AK532"/>
      <c r="AL532"/>
      <c r="AM532"/>
    </row>
    <row r="533" spans="2:39">
      <c r="B533" s="209"/>
      <c r="C533" s="209"/>
      <c r="I533"/>
      <c r="J533"/>
      <c r="K533"/>
      <c r="L533"/>
      <c r="M533"/>
      <c r="N533"/>
      <c r="Q533"/>
      <c r="R533"/>
      <c r="S533"/>
      <c r="T533"/>
      <c r="U533"/>
      <c r="V533"/>
      <c r="W533"/>
      <c r="X533"/>
      <c r="Y533"/>
      <c r="Z533"/>
      <c r="AA533"/>
      <c r="AB533"/>
      <c r="AC533"/>
      <c r="AD533"/>
      <c r="AE533"/>
      <c r="AF533"/>
      <c r="AG533"/>
      <c r="AH533"/>
      <c r="AI533"/>
      <c r="AJ533"/>
      <c r="AK533"/>
      <c r="AL533"/>
      <c r="AM533"/>
    </row>
    <row r="534" spans="2:39">
      <c r="B534" s="209"/>
      <c r="C534" s="209"/>
      <c r="I534"/>
      <c r="J534"/>
      <c r="K534"/>
      <c r="L534"/>
      <c r="M534"/>
      <c r="N534"/>
      <c r="Q534"/>
      <c r="R534"/>
      <c r="S534"/>
      <c r="T534"/>
      <c r="U534"/>
      <c r="V534"/>
      <c r="W534"/>
      <c r="X534"/>
      <c r="Y534"/>
      <c r="Z534"/>
      <c r="AA534"/>
      <c r="AB534"/>
      <c r="AC534"/>
      <c r="AD534"/>
      <c r="AE534"/>
      <c r="AF534"/>
      <c r="AG534"/>
      <c r="AH534"/>
      <c r="AI534"/>
      <c r="AJ534"/>
      <c r="AK534"/>
      <c r="AL534"/>
      <c r="AM534"/>
    </row>
    <row r="535" spans="2:39">
      <c r="B535" s="209"/>
      <c r="C535" s="209"/>
      <c r="I535"/>
      <c r="J535"/>
      <c r="K535"/>
      <c r="L535"/>
      <c r="M535"/>
      <c r="N535"/>
      <c r="Q535"/>
      <c r="R535"/>
      <c r="S535"/>
      <c r="T535"/>
      <c r="U535"/>
      <c r="V535"/>
      <c r="W535"/>
      <c r="X535"/>
      <c r="Y535"/>
      <c r="Z535"/>
      <c r="AA535"/>
      <c r="AB535"/>
      <c r="AC535"/>
      <c r="AD535"/>
      <c r="AE535"/>
      <c r="AF535"/>
      <c r="AG535"/>
      <c r="AH535"/>
      <c r="AI535"/>
      <c r="AJ535"/>
      <c r="AK535"/>
      <c r="AL535"/>
      <c r="AM535"/>
    </row>
    <row r="536" spans="2:39">
      <c r="B536" s="209"/>
      <c r="C536" s="209"/>
      <c r="I536"/>
      <c r="J536"/>
      <c r="K536"/>
      <c r="L536"/>
      <c r="M536"/>
      <c r="N536"/>
      <c r="Q536"/>
      <c r="R536"/>
      <c r="S536"/>
      <c r="T536"/>
      <c r="U536"/>
      <c r="V536"/>
      <c r="W536"/>
      <c r="X536"/>
      <c r="Y536"/>
      <c r="Z536"/>
      <c r="AA536"/>
      <c r="AB536"/>
      <c r="AC536"/>
      <c r="AD536"/>
      <c r="AE536"/>
      <c r="AF536"/>
      <c r="AG536"/>
      <c r="AH536"/>
      <c r="AI536"/>
      <c r="AJ536"/>
      <c r="AK536"/>
      <c r="AL536"/>
      <c r="AM536"/>
    </row>
    <row r="537" spans="2:39">
      <c r="B537" s="209"/>
      <c r="C537" s="209"/>
      <c r="I537"/>
      <c r="J537"/>
      <c r="K537"/>
      <c r="L537"/>
      <c r="M537"/>
      <c r="N537"/>
      <c r="Q537"/>
      <c r="R537"/>
      <c r="S537"/>
      <c r="T537"/>
      <c r="U537"/>
      <c r="V537"/>
      <c r="W537"/>
      <c r="X537"/>
      <c r="Y537"/>
      <c r="Z537"/>
      <c r="AA537"/>
      <c r="AB537"/>
      <c r="AC537"/>
      <c r="AD537"/>
      <c r="AE537"/>
      <c r="AF537"/>
      <c r="AG537"/>
      <c r="AH537"/>
      <c r="AI537"/>
      <c r="AJ537"/>
      <c r="AK537"/>
      <c r="AL537"/>
      <c r="AM537"/>
    </row>
    <row r="538" spans="2:39">
      <c r="B538" s="209"/>
      <c r="C538" s="209"/>
      <c r="I538"/>
      <c r="J538"/>
      <c r="K538"/>
      <c r="L538"/>
      <c r="M538"/>
      <c r="N538"/>
      <c r="Q538"/>
      <c r="R538"/>
      <c r="S538"/>
      <c r="T538"/>
      <c r="U538"/>
      <c r="V538"/>
      <c r="W538"/>
      <c r="X538"/>
      <c r="Y538"/>
      <c r="Z538"/>
      <c r="AA538"/>
      <c r="AB538"/>
      <c r="AC538"/>
      <c r="AD538"/>
      <c r="AE538"/>
      <c r="AF538"/>
      <c r="AG538"/>
      <c r="AH538"/>
      <c r="AI538"/>
      <c r="AJ538"/>
      <c r="AK538"/>
      <c r="AL538"/>
      <c r="AM538"/>
    </row>
    <row r="539" spans="2:39">
      <c r="B539" s="209"/>
      <c r="C539" s="209"/>
      <c r="I539"/>
      <c r="J539"/>
      <c r="K539"/>
      <c r="L539"/>
      <c r="M539"/>
      <c r="N539"/>
      <c r="Q539"/>
      <c r="R539"/>
      <c r="S539"/>
      <c r="T539"/>
      <c r="U539"/>
      <c r="V539"/>
      <c r="W539"/>
      <c r="X539"/>
      <c r="Y539"/>
      <c r="Z539"/>
      <c r="AA539"/>
      <c r="AB539"/>
      <c r="AC539"/>
      <c r="AD539"/>
      <c r="AE539"/>
      <c r="AF539"/>
      <c r="AG539"/>
      <c r="AH539"/>
      <c r="AI539"/>
      <c r="AJ539"/>
      <c r="AK539"/>
      <c r="AL539"/>
      <c r="AM539"/>
    </row>
    <row r="540" spans="2:39">
      <c r="B540" s="209"/>
      <c r="C540" s="209"/>
      <c r="I540"/>
      <c r="J540"/>
      <c r="K540"/>
      <c r="L540"/>
      <c r="M540"/>
      <c r="N540"/>
      <c r="Q540"/>
      <c r="R540"/>
      <c r="S540"/>
      <c r="T540"/>
      <c r="U540"/>
      <c r="V540"/>
      <c r="W540"/>
      <c r="X540"/>
      <c r="Y540"/>
      <c r="Z540"/>
      <c r="AA540"/>
      <c r="AB540"/>
      <c r="AC540"/>
      <c r="AD540"/>
      <c r="AE540"/>
      <c r="AF540"/>
      <c r="AG540"/>
      <c r="AH540"/>
      <c r="AI540"/>
      <c r="AJ540"/>
      <c r="AK540"/>
      <c r="AL540"/>
      <c r="AM540"/>
    </row>
    <row r="541" spans="2:39">
      <c r="B541" s="209"/>
      <c r="C541" s="209"/>
      <c r="I541"/>
      <c r="J541"/>
      <c r="K541"/>
      <c r="L541"/>
      <c r="M541"/>
      <c r="N541"/>
      <c r="Q541"/>
      <c r="R541"/>
      <c r="S541"/>
      <c r="T541"/>
      <c r="U541"/>
      <c r="V541"/>
      <c r="W541"/>
      <c r="X541"/>
      <c r="Y541"/>
      <c r="Z541"/>
      <c r="AA541"/>
      <c r="AB541"/>
      <c r="AC541"/>
      <c r="AD541"/>
      <c r="AE541"/>
      <c r="AF541"/>
      <c r="AG541"/>
      <c r="AH541"/>
      <c r="AI541"/>
      <c r="AJ541"/>
      <c r="AK541"/>
      <c r="AL541"/>
      <c r="AM541"/>
    </row>
    <row r="542" spans="2:39">
      <c r="B542" s="209"/>
      <c r="C542" s="209"/>
      <c r="I542"/>
      <c r="J542"/>
      <c r="K542"/>
      <c r="L542"/>
      <c r="M542"/>
      <c r="N542"/>
      <c r="Q542"/>
      <c r="R542"/>
      <c r="S542"/>
      <c r="T542"/>
      <c r="U542"/>
      <c r="V542"/>
      <c r="W542"/>
      <c r="X542"/>
      <c r="Y542"/>
      <c r="Z542"/>
      <c r="AA542"/>
      <c r="AB542"/>
      <c r="AC542"/>
      <c r="AD542"/>
      <c r="AE542"/>
      <c r="AF542"/>
      <c r="AG542"/>
      <c r="AH542"/>
      <c r="AI542"/>
      <c r="AJ542"/>
      <c r="AK542"/>
      <c r="AL542"/>
      <c r="AM542"/>
    </row>
    <row r="543" spans="2:39">
      <c r="B543" s="209"/>
      <c r="C543" s="209"/>
      <c r="I543"/>
      <c r="J543"/>
      <c r="K543"/>
      <c r="L543"/>
      <c r="M543"/>
      <c r="N543"/>
      <c r="Q543"/>
      <c r="R543"/>
      <c r="S543"/>
      <c r="T543"/>
      <c r="U543"/>
      <c r="V543"/>
      <c r="W543"/>
      <c r="X543"/>
      <c r="Y543"/>
      <c r="Z543"/>
      <c r="AA543"/>
      <c r="AB543"/>
      <c r="AC543"/>
      <c r="AD543"/>
      <c r="AE543"/>
      <c r="AF543"/>
      <c r="AG543"/>
      <c r="AH543"/>
      <c r="AI543"/>
      <c r="AJ543"/>
      <c r="AK543"/>
      <c r="AL543"/>
      <c r="AM543"/>
    </row>
    <row r="544" spans="2:39">
      <c r="B544" s="209"/>
      <c r="C544" s="209"/>
      <c r="I544"/>
      <c r="J544"/>
      <c r="K544"/>
      <c r="L544"/>
      <c r="M544"/>
      <c r="N544"/>
      <c r="Q544"/>
      <c r="R544"/>
      <c r="S544"/>
      <c r="T544"/>
      <c r="U544"/>
      <c r="V544"/>
      <c r="W544"/>
      <c r="X544"/>
      <c r="Y544"/>
      <c r="Z544"/>
      <c r="AA544"/>
      <c r="AB544"/>
      <c r="AC544"/>
      <c r="AD544"/>
      <c r="AE544"/>
      <c r="AF544"/>
      <c r="AG544"/>
      <c r="AH544"/>
      <c r="AI544"/>
      <c r="AJ544"/>
      <c r="AK544"/>
      <c r="AL544"/>
      <c r="AM544"/>
    </row>
    <row r="545" spans="2:39">
      <c r="B545" s="209"/>
      <c r="C545" s="209"/>
      <c r="I545"/>
      <c r="J545"/>
      <c r="K545"/>
      <c r="L545"/>
      <c r="M545"/>
      <c r="N545"/>
      <c r="Q545"/>
      <c r="R545"/>
      <c r="S545"/>
      <c r="T545"/>
      <c r="U545"/>
      <c r="V545"/>
      <c r="W545"/>
      <c r="X545"/>
      <c r="Y545"/>
      <c r="Z545"/>
      <c r="AA545"/>
      <c r="AB545"/>
      <c r="AC545"/>
      <c r="AD545"/>
      <c r="AE545"/>
      <c r="AF545"/>
      <c r="AG545"/>
      <c r="AH545"/>
      <c r="AI545"/>
      <c r="AJ545"/>
      <c r="AK545"/>
      <c r="AL545"/>
      <c r="AM545"/>
    </row>
    <row r="546" spans="2:39">
      <c r="B546" s="209"/>
      <c r="C546" s="209"/>
      <c r="I546"/>
      <c r="J546"/>
      <c r="K546"/>
      <c r="L546"/>
      <c r="M546"/>
      <c r="N546"/>
      <c r="Q546"/>
      <c r="R546"/>
      <c r="S546"/>
      <c r="T546"/>
      <c r="U546"/>
      <c r="V546"/>
      <c r="W546"/>
      <c r="X546"/>
      <c r="Y546"/>
      <c r="Z546"/>
      <c r="AA546"/>
      <c r="AB546"/>
      <c r="AC546"/>
      <c r="AD546"/>
      <c r="AE546"/>
      <c r="AF546"/>
      <c r="AG546"/>
      <c r="AH546"/>
      <c r="AI546"/>
      <c r="AJ546"/>
      <c r="AK546"/>
      <c r="AL546"/>
      <c r="AM546"/>
    </row>
    <row r="547" spans="2:39">
      <c r="B547" s="209"/>
      <c r="C547" s="209"/>
      <c r="I547"/>
      <c r="J547"/>
      <c r="K547"/>
      <c r="L547"/>
      <c r="M547"/>
      <c r="N547"/>
      <c r="Q547"/>
      <c r="R547"/>
      <c r="S547"/>
      <c r="T547"/>
      <c r="U547"/>
      <c r="V547"/>
      <c r="W547"/>
      <c r="X547"/>
      <c r="Y547"/>
      <c r="Z547"/>
      <c r="AA547"/>
      <c r="AB547"/>
      <c r="AC547"/>
      <c r="AD547"/>
      <c r="AE547"/>
      <c r="AF547"/>
      <c r="AG547"/>
      <c r="AH547"/>
      <c r="AI547"/>
      <c r="AJ547"/>
      <c r="AK547"/>
      <c r="AL547"/>
      <c r="AM547"/>
    </row>
    <row r="548" spans="2:39">
      <c r="B548" s="209"/>
      <c r="C548" s="209"/>
      <c r="I548"/>
      <c r="J548"/>
      <c r="K548"/>
      <c r="L548"/>
      <c r="M548"/>
      <c r="N548"/>
      <c r="Q548"/>
      <c r="R548"/>
      <c r="S548"/>
      <c r="T548"/>
      <c r="U548"/>
      <c r="V548"/>
      <c r="W548"/>
      <c r="X548"/>
      <c r="Y548"/>
      <c r="Z548"/>
      <c r="AA548"/>
      <c r="AB548"/>
      <c r="AC548"/>
      <c r="AD548"/>
      <c r="AE548"/>
      <c r="AF548"/>
      <c r="AG548"/>
      <c r="AH548"/>
      <c r="AI548"/>
      <c r="AJ548"/>
      <c r="AK548"/>
      <c r="AL548"/>
      <c r="AM548"/>
    </row>
    <row r="549" spans="2:39">
      <c r="B549" s="209"/>
      <c r="C549" s="209"/>
      <c r="I549"/>
      <c r="J549"/>
      <c r="K549"/>
      <c r="L549"/>
      <c r="M549"/>
      <c r="N549"/>
      <c r="Q549"/>
      <c r="R549"/>
      <c r="S549"/>
      <c r="T549"/>
      <c r="U549"/>
      <c r="V549"/>
      <c r="W549"/>
      <c r="X549"/>
      <c r="Y549"/>
      <c r="Z549"/>
      <c r="AA549"/>
      <c r="AB549"/>
      <c r="AC549"/>
      <c r="AD549"/>
      <c r="AE549"/>
      <c r="AF549"/>
      <c r="AG549"/>
      <c r="AH549"/>
      <c r="AI549"/>
      <c r="AJ549"/>
      <c r="AK549"/>
      <c r="AL549"/>
      <c r="AM549"/>
    </row>
    <row r="550" spans="2:39">
      <c r="B550" s="209"/>
      <c r="C550" s="209"/>
      <c r="I550"/>
      <c r="J550"/>
      <c r="K550"/>
      <c r="L550"/>
      <c r="M550"/>
      <c r="N550"/>
      <c r="Q550"/>
      <c r="R550"/>
      <c r="S550"/>
      <c r="T550"/>
      <c r="U550"/>
      <c r="V550"/>
      <c r="W550"/>
      <c r="X550"/>
      <c r="Y550"/>
      <c r="Z550"/>
      <c r="AA550"/>
      <c r="AB550"/>
      <c r="AC550"/>
      <c r="AD550"/>
      <c r="AE550"/>
      <c r="AF550"/>
      <c r="AG550"/>
      <c r="AH550"/>
      <c r="AI550"/>
      <c r="AJ550"/>
      <c r="AK550"/>
      <c r="AL550"/>
      <c r="AM550"/>
    </row>
    <row r="551" spans="2:39">
      <c r="B551" s="209"/>
      <c r="C551" s="209"/>
      <c r="I551"/>
      <c r="J551"/>
      <c r="K551"/>
      <c r="L551"/>
      <c r="M551"/>
      <c r="N551"/>
      <c r="Q551"/>
      <c r="R551"/>
      <c r="S551"/>
      <c r="T551"/>
      <c r="U551"/>
      <c r="V551"/>
      <c r="W551"/>
      <c r="X551"/>
      <c r="Y551"/>
      <c r="Z551"/>
      <c r="AA551"/>
      <c r="AB551"/>
      <c r="AC551"/>
      <c r="AD551"/>
      <c r="AE551"/>
      <c r="AF551"/>
      <c r="AG551"/>
      <c r="AH551"/>
      <c r="AI551"/>
      <c r="AJ551"/>
      <c r="AK551"/>
      <c r="AL551"/>
      <c r="AM551"/>
    </row>
    <row r="552" spans="2:39">
      <c r="B552" s="209"/>
      <c r="C552" s="209"/>
      <c r="I552"/>
      <c r="J552"/>
      <c r="K552"/>
      <c r="L552"/>
      <c r="M552"/>
      <c r="N552"/>
      <c r="Q552"/>
      <c r="R552"/>
      <c r="S552"/>
      <c r="T552"/>
      <c r="U552"/>
      <c r="V552"/>
      <c r="W552"/>
      <c r="X552"/>
      <c r="Y552"/>
      <c r="Z552"/>
      <c r="AA552"/>
      <c r="AB552"/>
      <c r="AC552"/>
      <c r="AD552"/>
      <c r="AE552"/>
      <c r="AF552"/>
      <c r="AG552"/>
      <c r="AH552"/>
      <c r="AI552"/>
      <c r="AJ552"/>
      <c r="AK552"/>
      <c r="AL552"/>
      <c r="AM552"/>
    </row>
    <row r="553" spans="2:39">
      <c r="B553" s="209"/>
      <c r="C553" s="209"/>
      <c r="I553"/>
      <c r="J553"/>
      <c r="K553"/>
      <c r="L553"/>
      <c r="M553"/>
      <c r="N553"/>
      <c r="Q553"/>
      <c r="R553"/>
      <c r="S553"/>
      <c r="T553"/>
      <c r="U553"/>
      <c r="V553"/>
      <c r="W553"/>
      <c r="X553"/>
      <c r="Y553"/>
      <c r="Z553"/>
      <c r="AA553"/>
      <c r="AB553"/>
      <c r="AC553"/>
      <c r="AD553"/>
      <c r="AE553"/>
      <c r="AF553"/>
      <c r="AG553"/>
      <c r="AH553"/>
      <c r="AI553"/>
      <c r="AJ553"/>
      <c r="AK553"/>
      <c r="AL553"/>
      <c r="AM553"/>
    </row>
    <row r="554" spans="2:39">
      <c r="B554" s="209"/>
      <c r="C554" s="209"/>
      <c r="I554"/>
      <c r="J554"/>
      <c r="K554"/>
      <c r="L554"/>
      <c r="M554"/>
      <c r="N554"/>
      <c r="Q554"/>
      <c r="R554"/>
      <c r="S554"/>
      <c r="T554"/>
      <c r="U554"/>
      <c r="V554"/>
      <c r="W554"/>
      <c r="X554"/>
      <c r="Y554"/>
      <c r="Z554"/>
      <c r="AA554"/>
      <c r="AB554"/>
      <c r="AC554"/>
      <c r="AD554"/>
      <c r="AE554"/>
      <c r="AF554"/>
      <c r="AG554"/>
      <c r="AH554"/>
      <c r="AI554"/>
      <c r="AJ554"/>
      <c r="AK554"/>
      <c r="AL554"/>
      <c r="AM554"/>
    </row>
    <row r="555" spans="2:39">
      <c r="B555" s="209"/>
      <c r="C555" s="209"/>
      <c r="I555"/>
      <c r="J555"/>
      <c r="K555"/>
      <c r="L555"/>
      <c r="M555"/>
      <c r="N555"/>
      <c r="Q555"/>
      <c r="R555"/>
      <c r="S555"/>
      <c r="T555"/>
      <c r="U555"/>
      <c r="V555"/>
      <c r="W555"/>
      <c r="X555"/>
      <c r="Y555"/>
      <c r="Z555"/>
      <c r="AA555"/>
      <c r="AB555"/>
      <c r="AC555"/>
      <c r="AD555"/>
      <c r="AE555"/>
      <c r="AF555"/>
      <c r="AG555"/>
      <c r="AH555"/>
      <c r="AI555"/>
      <c r="AJ555"/>
      <c r="AK555"/>
      <c r="AL555"/>
      <c r="AM555"/>
    </row>
    <row r="556" spans="2:39">
      <c r="B556" s="209"/>
      <c r="C556" s="209"/>
      <c r="I556"/>
      <c r="J556"/>
      <c r="K556"/>
      <c r="L556"/>
      <c r="M556"/>
      <c r="N556"/>
      <c r="Q556"/>
      <c r="R556"/>
      <c r="S556"/>
      <c r="T556"/>
      <c r="U556"/>
      <c r="V556"/>
      <c r="W556"/>
      <c r="X556"/>
      <c r="Y556"/>
      <c r="Z556"/>
      <c r="AA556"/>
      <c r="AB556"/>
      <c r="AC556"/>
      <c r="AD556"/>
      <c r="AE556"/>
      <c r="AF556"/>
      <c r="AG556"/>
      <c r="AH556"/>
      <c r="AI556"/>
      <c r="AJ556"/>
      <c r="AK556"/>
      <c r="AL556"/>
      <c r="AM556"/>
    </row>
    <row r="557" spans="2:39">
      <c r="B557" s="209"/>
      <c r="C557" s="209"/>
      <c r="I557"/>
      <c r="J557"/>
      <c r="K557"/>
      <c r="L557"/>
      <c r="M557"/>
      <c r="N557"/>
      <c r="Q557"/>
      <c r="R557"/>
      <c r="S557"/>
      <c r="T557"/>
      <c r="U557"/>
      <c r="V557"/>
      <c r="W557"/>
      <c r="X557"/>
      <c r="Y557"/>
      <c r="Z557"/>
      <c r="AA557"/>
      <c r="AB557"/>
      <c r="AC557"/>
      <c r="AD557"/>
      <c r="AE557"/>
      <c r="AF557"/>
      <c r="AG557"/>
      <c r="AH557"/>
      <c r="AI557"/>
      <c r="AJ557"/>
      <c r="AK557"/>
      <c r="AL557"/>
      <c r="AM557"/>
    </row>
    <row r="558" spans="2:39">
      <c r="B558" s="209"/>
      <c r="C558" s="209"/>
      <c r="I558"/>
      <c r="J558"/>
      <c r="K558"/>
      <c r="L558"/>
      <c r="M558"/>
      <c r="N558"/>
      <c r="Q558"/>
      <c r="R558"/>
      <c r="S558"/>
      <c r="T558"/>
      <c r="U558"/>
      <c r="V558"/>
      <c r="W558"/>
      <c r="X558"/>
      <c r="Y558"/>
      <c r="Z558"/>
      <c r="AA558"/>
      <c r="AB558"/>
      <c r="AC558"/>
      <c r="AD558"/>
      <c r="AE558"/>
      <c r="AF558"/>
      <c r="AG558"/>
      <c r="AH558"/>
      <c r="AI558"/>
      <c r="AJ558"/>
      <c r="AK558"/>
      <c r="AL558"/>
      <c r="AM558"/>
    </row>
    <row r="559" spans="2:39">
      <c r="B559" s="209"/>
      <c r="C559" s="209"/>
      <c r="I559"/>
      <c r="J559"/>
      <c r="K559"/>
      <c r="L559"/>
      <c r="M559"/>
      <c r="N559"/>
      <c r="Q559"/>
      <c r="R559"/>
      <c r="S559"/>
      <c r="T559"/>
      <c r="U559"/>
      <c r="V559"/>
      <c r="W559"/>
      <c r="X559"/>
      <c r="Y559"/>
      <c r="Z559"/>
      <c r="AA559"/>
      <c r="AB559"/>
      <c r="AC559"/>
      <c r="AD559"/>
      <c r="AE559"/>
      <c r="AF559"/>
      <c r="AG559"/>
      <c r="AH559"/>
      <c r="AI559"/>
      <c r="AJ559"/>
      <c r="AK559"/>
      <c r="AL559"/>
      <c r="AM559"/>
    </row>
    <row r="560" spans="2:39">
      <c r="B560" s="209"/>
      <c r="C560" s="209"/>
      <c r="I560"/>
      <c r="J560"/>
      <c r="K560"/>
      <c r="L560"/>
      <c r="M560"/>
      <c r="N560"/>
      <c r="Q560"/>
      <c r="R560"/>
      <c r="S560"/>
      <c r="T560"/>
      <c r="U560"/>
      <c r="V560"/>
      <c r="W560"/>
      <c r="X560"/>
      <c r="Y560"/>
      <c r="Z560"/>
      <c r="AA560"/>
      <c r="AB560"/>
      <c r="AC560"/>
      <c r="AD560"/>
      <c r="AE560"/>
      <c r="AF560"/>
      <c r="AG560"/>
      <c r="AH560"/>
      <c r="AI560"/>
      <c r="AJ560"/>
      <c r="AK560"/>
      <c r="AL560"/>
      <c r="AM560"/>
    </row>
    <row r="561" spans="2:39">
      <c r="B561" s="209"/>
      <c r="C561" s="209"/>
      <c r="I561"/>
      <c r="J561"/>
      <c r="K561"/>
      <c r="L561"/>
      <c r="M561"/>
      <c r="N561"/>
      <c r="Q561"/>
      <c r="R561"/>
      <c r="S561"/>
      <c r="T561"/>
      <c r="U561"/>
      <c r="V561"/>
      <c r="W561"/>
      <c r="X561"/>
      <c r="Y561"/>
      <c r="Z561"/>
      <c r="AA561"/>
      <c r="AB561"/>
      <c r="AC561"/>
      <c r="AD561"/>
      <c r="AE561"/>
      <c r="AF561"/>
      <c r="AG561"/>
      <c r="AH561"/>
      <c r="AI561"/>
      <c r="AJ561"/>
      <c r="AK561"/>
      <c r="AL561"/>
      <c r="AM561"/>
    </row>
    <row r="562" spans="2:39">
      <c r="B562" s="209"/>
      <c r="C562" s="209"/>
      <c r="I562"/>
      <c r="J562"/>
      <c r="K562"/>
      <c r="L562"/>
      <c r="M562"/>
      <c r="N562"/>
      <c r="Q562"/>
      <c r="R562"/>
      <c r="S562"/>
      <c r="T562"/>
      <c r="U562"/>
      <c r="V562"/>
      <c r="W562"/>
      <c r="X562"/>
      <c r="Y562"/>
      <c r="Z562"/>
      <c r="AA562"/>
      <c r="AB562"/>
      <c r="AC562"/>
      <c r="AD562"/>
      <c r="AE562"/>
      <c r="AF562"/>
      <c r="AG562"/>
      <c r="AH562"/>
      <c r="AI562"/>
      <c r="AJ562"/>
      <c r="AK562"/>
      <c r="AL562"/>
      <c r="AM562"/>
    </row>
    <row r="563" spans="2:39">
      <c r="B563" s="209"/>
      <c r="C563" s="209"/>
      <c r="I563"/>
      <c r="J563"/>
      <c r="K563"/>
      <c r="L563"/>
      <c r="M563"/>
      <c r="N563"/>
      <c r="Q563"/>
      <c r="R563"/>
      <c r="S563"/>
      <c r="T563"/>
      <c r="U563"/>
      <c r="V563"/>
      <c r="W563"/>
      <c r="X563"/>
      <c r="Y563"/>
      <c r="Z563"/>
      <c r="AA563"/>
      <c r="AB563"/>
      <c r="AC563"/>
      <c r="AD563"/>
      <c r="AE563"/>
      <c r="AF563"/>
      <c r="AG563"/>
      <c r="AH563"/>
      <c r="AI563"/>
      <c r="AJ563"/>
      <c r="AK563"/>
      <c r="AL563"/>
      <c r="AM563"/>
    </row>
    <row r="564" spans="2:39">
      <c r="B564" s="209"/>
      <c r="C564" s="209"/>
      <c r="I564"/>
      <c r="J564"/>
      <c r="K564"/>
      <c r="L564"/>
      <c r="M564"/>
      <c r="N564"/>
      <c r="Q564"/>
      <c r="R564"/>
      <c r="S564"/>
      <c r="T564"/>
      <c r="U564"/>
      <c r="V564"/>
      <c r="W564"/>
      <c r="X564"/>
      <c r="Y564"/>
      <c r="Z564"/>
      <c r="AA564"/>
      <c r="AB564"/>
      <c r="AC564"/>
      <c r="AD564"/>
      <c r="AE564"/>
      <c r="AF564"/>
      <c r="AG564"/>
      <c r="AH564"/>
      <c r="AI564"/>
      <c r="AJ564"/>
      <c r="AK564"/>
      <c r="AL564"/>
      <c r="AM564"/>
    </row>
    <row r="565" spans="2:39">
      <c r="B565" s="209"/>
      <c r="C565" s="209"/>
      <c r="I565"/>
      <c r="J565"/>
      <c r="K565"/>
      <c r="L565"/>
      <c r="M565"/>
      <c r="N565"/>
      <c r="Q565"/>
      <c r="R565"/>
      <c r="S565"/>
      <c r="T565"/>
      <c r="U565"/>
      <c r="V565"/>
      <c r="W565"/>
      <c r="X565"/>
      <c r="Y565"/>
      <c r="Z565"/>
      <c r="AA565"/>
      <c r="AB565"/>
      <c r="AC565"/>
      <c r="AD565"/>
      <c r="AE565"/>
      <c r="AF565"/>
      <c r="AG565"/>
      <c r="AH565"/>
      <c r="AI565"/>
      <c r="AJ565"/>
      <c r="AK565"/>
      <c r="AL565"/>
      <c r="AM565"/>
    </row>
    <row r="566" spans="2:39">
      <c r="B566" s="209"/>
      <c r="C566" s="209"/>
      <c r="I566"/>
      <c r="J566"/>
      <c r="K566"/>
      <c r="L566"/>
      <c r="M566"/>
      <c r="N566"/>
      <c r="Q566"/>
      <c r="R566"/>
      <c r="S566"/>
      <c r="T566"/>
      <c r="U566"/>
      <c r="V566"/>
      <c r="W566"/>
      <c r="X566"/>
      <c r="Y566"/>
      <c r="Z566"/>
      <c r="AA566"/>
      <c r="AB566"/>
      <c r="AC566"/>
      <c r="AD566"/>
      <c r="AE566"/>
      <c r="AF566"/>
      <c r="AG566"/>
      <c r="AH566"/>
      <c r="AI566"/>
      <c r="AJ566"/>
      <c r="AK566"/>
      <c r="AL566"/>
      <c r="AM566"/>
    </row>
    <row r="567" spans="2:39">
      <c r="B567" s="209"/>
      <c r="C567" s="209"/>
      <c r="I567"/>
      <c r="J567"/>
      <c r="K567"/>
      <c r="L567"/>
      <c r="M567"/>
      <c r="N567"/>
      <c r="Q567"/>
      <c r="R567"/>
      <c r="S567"/>
      <c r="T567"/>
      <c r="U567"/>
      <c r="V567"/>
      <c r="W567"/>
      <c r="X567"/>
      <c r="Y567"/>
      <c r="Z567"/>
      <c r="AA567"/>
      <c r="AB567"/>
      <c r="AC567"/>
      <c r="AD567"/>
      <c r="AE567"/>
      <c r="AF567"/>
      <c r="AG567"/>
      <c r="AH567"/>
      <c r="AI567"/>
      <c r="AJ567"/>
      <c r="AK567"/>
      <c r="AL567"/>
      <c r="AM567"/>
    </row>
    <row r="568" spans="2:39">
      <c r="B568" s="209"/>
      <c r="C568" s="209"/>
      <c r="I568"/>
      <c r="J568"/>
      <c r="K568"/>
      <c r="L568"/>
      <c r="M568"/>
      <c r="N568"/>
      <c r="Q568"/>
      <c r="R568"/>
      <c r="S568"/>
      <c r="T568"/>
      <c r="U568"/>
      <c r="V568"/>
      <c r="W568"/>
      <c r="X568"/>
      <c r="Y568"/>
      <c r="Z568"/>
      <c r="AA568"/>
      <c r="AB568"/>
      <c r="AC568"/>
      <c r="AD568"/>
      <c r="AE568"/>
      <c r="AF568"/>
      <c r="AG568"/>
      <c r="AH568"/>
      <c r="AI568"/>
      <c r="AJ568"/>
      <c r="AK568"/>
      <c r="AL568"/>
      <c r="AM568"/>
    </row>
    <row r="569" spans="2:39">
      <c r="B569" s="209"/>
      <c r="C569" s="209"/>
      <c r="I569"/>
      <c r="J569"/>
      <c r="K569"/>
      <c r="L569"/>
      <c r="M569"/>
      <c r="N569"/>
      <c r="Q569"/>
      <c r="R569"/>
      <c r="S569"/>
      <c r="T569"/>
      <c r="U569"/>
      <c r="V569"/>
      <c r="W569"/>
      <c r="X569"/>
      <c r="Y569"/>
      <c r="Z569"/>
      <c r="AA569"/>
      <c r="AB569"/>
      <c r="AC569"/>
      <c r="AD569"/>
      <c r="AE569"/>
      <c r="AF569"/>
      <c r="AG569"/>
      <c r="AH569"/>
      <c r="AI569"/>
      <c r="AJ569"/>
      <c r="AK569"/>
      <c r="AL569"/>
      <c r="AM569"/>
    </row>
    <row r="570" spans="2:39">
      <c r="B570" s="209"/>
      <c r="C570" s="209"/>
      <c r="I570"/>
      <c r="J570"/>
      <c r="K570"/>
      <c r="L570"/>
      <c r="M570"/>
      <c r="N570"/>
      <c r="Q570"/>
      <c r="R570"/>
      <c r="S570"/>
      <c r="T570"/>
      <c r="U570"/>
      <c r="V570"/>
      <c r="W570"/>
      <c r="X570"/>
      <c r="Y570"/>
      <c r="Z570"/>
      <c r="AA570"/>
      <c r="AB570"/>
      <c r="AC570"/>
      <c r="AD570"/>
      <c r="AE570"/>
      <c r="AF570"/>
      <c r="AG570"/>
      <c r="AH570"/>
      <c r="AI570"/>
      <c r="AJ570"/>
      <c r="AK570"/>
      <c r="AL570"/>
      <c r="AM570"/>
    </row>
    <row r="571" spans="2:39">
      <c r="B571" s="209"/>
      <c r="C571" s="209"/>
      <c r="I571"/>
      <c r="J571"/>
      <c r="K571"/>
      <c r="L571"/>
      <c r="M571"/>
      <c r="N571"/>
      <c r="Q571"/>
      <c r="R571"/>
      <c r="S571"/>
      <c r="T571"/>
      <c r="U571"/>
      <c r="V571"/>
      <c r="W571"/>
      <c r="X571"/>
      <c r="Y571"/>
      <c r="Z571"/>
      <c r="AA571"/>
      <c r="AB571"/>
      <c r="AC571"/>
      <c r="AD571"/>
      <c r="AE571"/>
      <c r="AF571"/>
      <c r="AG571"/>
      <c r="AH571"/>
      <c r="AI571"/>
      <c r="AJ571"/>
      <c r="AK571"/>
      <c r="AL571"/>
      <c r="AM571"/>
    </row>
    <row r="572" spans="2:39">
      <c r="B572" s="209"/>
      <c r="C572" s="209"/>
      <c r="I572"/>
      <c r="J572"/>
      <c r="K572"/>
      <c r="L572"/>
      <c r="M572"/>
      <c r="N572"/>
      <c r="Q572"/>
      <c r="R572"/>
      <c r="S572"/>
      <c r="T572"/>
      <c r="U572"/>
      <c r="V572"/>
      <c r="W572"/>
      <c r="X572"/>
      <c r="Y572"/>
      <c r="Z572"/>
      <c r="AA572"/>
      <c r="AB572"/>
      <c r="AC572"/>
      <c r="AD572"/>
      <c r="AE572"/>
      <c r="AF572"/>
      <c r="AG572"/>
      <c r="AH572"/>
      <c r="AI572"/>
      <c r="AJ572"/>
      <c r="AK572"/>
      <c r="AL572"/>
      <c r="AM572"/>
    </row>
    <row r="573" spans="2:39">
      <c r="B573" s="209"/>
      <c r="C573" s="209"/>
      <c r="I573"/>
      <c r="J573"/>
      <c r="K573"/>
      <c r="L573"/>
      <c r="M573"/>
      <c r="N573"/>
      <c r="Q573"/>
      <c r="R573"/>
      <c r="S573"/>
      <c r="T573"/>
      <c r="U573"/>
      <c r="V573"/>
      <c r="W573"/>
      <c r="X573"/>
      <c r="Y573"/>
      <c r="Z573"/>
      <c r="AA573"/>
      <c r="AB573"/>
      <c r="AC573"/>
      <c r="AD573"/>
      <c r="AE573"/>
      <c r="AF573"/>
      <c r="AG573"/>
      <c r="AH573"/>
      <c r="AI573"/>
      <c r="AJ573"/>
      <c r="AK573"/>
      <c r="AL573"/>
      <c r="AM573"/>
    </row>
    <row r="574" spans="2:39">
      <c r="B574" s="209"/>
      <c r="C574" s="209"/>
      <c r="I574"/>
      <c r="J574"/>
      <c r="K574"/>
      <c r="L574"/>
      <c r="M574"/>
      <c r="N574"/>
      <c r="Q574"/>
      <c r="R574"/>
      <c r="S574"/>
      <c r="T574"/>
      <c r="U574"/>
      <c r="V574"/>
      <c r="W574"/>
      <c r="X574"/>
      <c r="Y574"/>
      <c r="Z574"/>
      <c r="AA574"/>
      <c r="AB574"/>
      <c r="AC574"/>
      <c r="AD574"/>
      <c r="AE574"/>
      <c r="AF574"/>
      <c r="AG574"/>
      <c r="AH574"/>
      <c r="AI574"/>
      <c r="AJ574"/>
      <c r="AK574"/>
      <c r="AL574"/>
      <c r="AM574"/>
    </row>
    <row r="575" spans="2:39">
      <c r="B575" s="209"/>
      <c r="C575" s="209"/>
      <c r="I575"/>
      <c r="J575"/>
      <c r="K575"/>
      <c r="L575"/>
      <c r="M575"/>
      <c r="N575"/>
      <c r="Q575"/>
      <c r="R575"/>
      <c r="S575"/>
      <c r="T575"/>
      <c r="U575"/>
      <c r="V575"/>
      <c r="W575"/>
      <c r="X575"/>
      <c r="Y575"/>
      <c r="Z575"/>
      <c r="AA575"/>
      <c r="AB575"/>
      <c r="AC575"/>
      <c r="AD575"/>
      <c r="AE575"/>
      <c r="AF575"/>
      <c r="AG575"/>
      <c r="AH575"/>
      <c r="AI575"/>
      <c r="AJ575"/>
      <c r="AK575"/>
      <c r="AL575"/>
      <c r="AM575"/>
    </row>
    <row r="576" spans="2:39">
      <c r="B576" s="209"/>
      <c r="C576" s="209"/>
      <c r="I576"/>
      <c r="J576"/>
      <c r="K576"/>
      <c r="L576"/>
      <c r="M576"/>
      <c r="N576"/>
      <c r="Q576"/>
      <c r="R576"/>
      <c r="S576"/>
      <c r="T576"/>
      <c r="U576"/>
      <c r="V576"/>
      <c r="W576"/>
      <c r="X576"/>
      <c r="Y576"/>
      <c r="Z576"/>
      <c r="AA576"/>
      <c r="AB576"/>
      <c r="AC576"/>
      <c r="AD576"/>
      <c r="AE576"/>
      <c r="AF576"/>
      <c r="AG576"/>
      <c r="AH576"/>
      <c r="AI576"/>
      <c r="AJ576"/>
      <c r="AK576"/>
      <c r="AL576"/>
      <c r="AM576"/>
    </row>
    <row r="577" spans="2:39">
      <c r="B577" s="209"/>
      <c r="C577" s="209"/>
      <c r="I577"/>
      <c r="J577"/>
      <c r="K577"/>
      <c r="L577"/>
      <c r="M577"/>
      <c r="N577"/>
      <c r="Q577"/>
      <c r="R577"/>
      <c r="S577"/>
      <c r="T577"/>
      <c r="U577"/>
      <c r="V577"/>
      <c r="W577"/>
      <c r="X577"/>
      <c r="Y577"/>
      <c r="Z577"/>
      <c r="AA577"/>
      <c r="AB577"/>
      <c r="AC577"/>
      <c r="AD577"/>
      <c r="AE577"/>
      <c r="AF577"/>
      <c r="AG577"/>
      <c r="AH577"/>
      <c r="AI577"/>
      <c r="AJ577"/>
      <c r="AK577"/>
      <c r="AL577"/>
      <c r="AM577"/>
    </row>
    <row r="578" spans="2:39">
      <c r="B578" s="209"/>
      <c r="C578" s="209"/>
      <c r="I578"/>
      <c r="J578"/>
      <c r="K578"/>
      <c r="L578"/>
      <c r="M578"/>
      <c r="N578"/>
      <c r="Q578"/>
      <c r="R578"/>
      <c r="S578"/>
      <c r="T578"/>
      <c r="U578"/>
      <c r="V578"/>
      <c r="W578"/>
      <c r="X578"/>
      <c r="Y578"/>
      <c r="Z578"/>
      <c r="AA578"/>
      <c r="AB578"/>
      <c r="AC578"/>
      <c r="AD578"/>
      <c r="AE578"/>
      <c r="AF578"/>
      <c r="AG578"/>
      <c r="AH578"/>
      <c r="AI578"/>
      <c r="AJ578"/>
      <c r="AK578"/>
      <c r="AL578"/>
      <c r="AM578"/>
    </row>
    <row r="579" spans="2:39">
      <c r="B579" s="209"/>
      <c r="C579" s="209"/>
      <c r="I579"/>
      <c r="J579"/>
      <c r="K579"/>
      <c r="L579"/>
      <c r="M579"/>
      <c r="N579"/>
      <c r="Q579"/>
      <c r="R579"/>
      <c r="S579"/>
      <c r="T579"/>
      <c r="U579"/>
      <c r="V579"/>
      <c r="W579"/>
      <c r="X579"/>
      <c r="Y579"/>
      <c r="Z579"/>
      <c r="AA579"/>
      <c r="AB579"/>
      <c r="AC579"/>
      <c r="AD579"/>
      <c r="AE579"/>
      <c r="AF579"/>
      <c r="AG579"/>
      <c r="AH579"/>
      <c r="AI579"/>
      <c r="AJ579"/>
      <c r="AK579"/>
      <c r="AL579"/>
      <c r="AM579"/>
    </row>
    <row r="580" spans="2:39">
      <c r="B580" s="209"/>
      <c r="C580" s="209"/>
      <c r="I580"/>
      <c r="J580"/>
      <c r="K580"/>
      <c r="L580"/>
      <c r="M580"/>
      <c r="N580"/>
      <c r="Q580"/>
      <c r="R580"/>
      <c r="S580"/>
      <c r="T580"/>
      <c r="U580"/>
      <c r="V580"/>
      <c r="W580"/>
      <c r="X580"/>
      <c r="Y580"/>
      <c r="Z580"/>
      <c r="AA580"/>
      <c r="AB580"/>
      <c r="AC580"/>
      <c r="AD580"/>
      <c r="AE580"/>
      <c r="AF580"/>
      <c r="AG580"/>
      <c r="AH580"/>
      <c r="AI580"/>
      <c r="AJ580"/>
      <c r="AK580"/>
      <c r="AL580"/>
      <c r="AM580"/>
    </row>
    <row r="581" spans="2:39">
      <c r="B581" s="209"/>
      <c r="C581" s="209"/>
      <c r="I581"/>
      <c r="J581"/>
      <c r="K581"/>
      <c r="L581"/>
      <c r="M581"/>
      <c r="N581"/>
      <c r="Q581"/>
      <c r="R581"/>
      <c r="S581"/>
      <c r="T581"/>
      <c r="U581"/>
      <c r="V581"/>
      <c r="W581"/>
      <c r="X581"/>
      <c r="Y581"/>
      <c r="Z581"/>
      <c r="AA581"/>
      <c r="AB581"/>
      <c r="AC581"/>
      <c r="AD581"/>
      <c r="AE581"/>
      <c r="AF581"/>
      <c r="AG581"/>
      <c r="AH581"/>
      <c r="AI581"/>
      <c r="AJ581"/>
      <c r="AK581"/>
      <c r="AL581"/>
      <c r="AM581"/>
    </row>
    <row r="582" spans="2:39">
      <c r="B582" s="209"/>
      <c r="C582" s="209"/>
      <c r="I582"/>
      <c r="J582"/>
      <c r="K582"/>
      <c r="L582"/>
      <c r="M582"/>
      <c r="N582"/>
      <c r="Q582"/>
      <c r="R582"/>
      <c r="S582"/>
      <c r="T582"/>
      <c r="U582"/>
      <c r="V582"/>
      <c r="W582"/>
      <c r="X582"/>
      <c r="Y582"/>
      <c r="Z582"/>
      <c r="AA582"/>
      <c r="AB582"/>
      <c r="AC582"/>
      <c r="AD582"/>
      <c r="AE582"/>
      <c r="AF582"/>
      <c r="AG582"/>
      <c r="AH582"/>
      <c r="AI582"/>
      <c r="AJ582"/>
      <c r="AK582"/>
      <c r="AL582"/>
      <c r="AM582"/>
    </row>
    <row r="583" spans="2:39">
      <c r="B583" s="209"/>
      <c r="C583" s="209"/>
      <c r="I583"/>
      <c r="J583"/>
      <c r="K583"/>
      <c r="L583"/>
      <c r="M583"/>
      <c r="N583"/>
      <c r="Q583"/>
      <c r="R583"/>
      <c r="S583"/>
      <c r="T583"/>
      <c r="U583"/>
      <c r="V583"/>
      <c r="W583"/>
      <c r="X583"/>
      <c r="Y583"/>
      <c r="Z583"/>
      <c r="AA583"/>
      <c r="AB583"/>
      <c r="AC583"/>
      <c r="AD583"/>
      <c r="AE583"/>
      <c r="AF583"/>
      <c r="AG583"/>
      <c r="AH583"/>
      <c r="AI583"/>
      <c r="AJ583"/>
      <c r="AK583"/>
      <c r="AL583"/>
      <c r="AM583"/>
    </row>
    <row r="584" spans="2:39">
      <c r="B584" s="209"/>
      <c r="C584" s="209"/>
      <c r="I584"/>
      <c r="J584"/>
      <c r="K584"/>
      <c r="L584"/>
      <c r="M584"/>
      <c r="N584"/>
      <c r="Q584"/>
      <c r="R584"/>
      <c r="S584"/>
      <c r="T584"/>
      <c r="U584"/>
      <c r="V584"/>
      <c r="W584"/>
      <c r="X584"/>
      <c r="Y584"/>
      <c r="Z584"/>
      <c r="AA584"/>
      <c r="AB584"/>
      <c r="AC584"/>
      <c r="AD584"/>
      <c r="AE584"/>
      <c r="AF584"/>
      <c r="AG584"/>
      <c r="AH584"/>
      <c r="AI584"/>
      <c r="AJ584"/>
      <c r="AK584"/>
      <c r="AL584"/>
      <c r="AM584"/>
    </row>
    <row r="585" spans="2:39">
      <c r="B585" s="209"/>
      <c r="C585" s="209"/>
      <c r="I585"/>
      <c r="J585"/>
      <c r="K585"/>
      <c r="L585"/>
      <c r="M585"/>
      <c r="N585"/>
      <c r="Q585"/>
      <c r="R585"/>
      <c r="S585"/>
      <c r="T585"/>
      <c r="U585"/>
      <c r="V585"/>
      <c r="W585"/>
      <c r="X585"/>
      <c r="Y585"/>
      <c r="Z585"/>
      <c r="AA585"/>
      <c r="AB585"/>
      <c r="AC585"/>
      <c r="AD585"/>
      <c r="AE585"/>
      <c r="AF585"/>
      <c r="AG585"/>
      <c r="AH585"/>
      <c r="AI585"/>
      <c r="AJ585"/>
      <c r="AK585"/>
      <c r="AL585"/>
      <c r="AM585"/>
    </row>
    <row r="586" spans="2:39">
      <c r="B586" s="209"/>
      <c r="C586" s="209"/>
      <c r="I586"/>
      <c r="J586"/>
      <c r="K586"/>
      <c r="L586"/>
      <c r="M586"/>
      <c r="N586"/>
      <c r="Q586"/>
      <c r="R586"/>
      <c r="S586"/>
      <c r="T586"/>
      <c r="U586"/>
      <c r="V586"/>
      <c r="W586"/>
      <c r="X586"/>
      <c r="Y586"/>
      <c r="Z586"/>
      <c r="AA586"/>
      <c r="AB586"/>
      <c r="AC586"/>
      <c r="AD586"/>
      <c r="AE586"/>
      <c r="AF586"/>
      <c r="AG586"/>
      <c r="AH586"/>
      <c r="AI586"/>
      <c r="AJ586"/>
      <c r="AK586"/>
      <c r="AL586"/>
      <c r="AM586"/>
    </row>
    <row r="587" spans="2:39">
      <c r="B587" s="209"/>
      <c r="C587" s="209"/>
      <c r="I587"/>
      <c r="J587"/>
      <c r="K587"/>
      <c r="L587"/>
      <c r="M587"/>
      <c r="N587"/>
      <c r="Q587"/>
      <c r="R587"/>
      <c r="S587"/>
      <c r="T587"/>
      <c r="U587"/>
      <c r="V587"/>
      <c r="W587"/>
      <c r="X587"/>
      <c r="Y587"/>
      <c r="Z587"/>
      <c r="AA587"/>
      <c r="AB587"/>
      <c r="AC587"/>
      <c r="AD587"/>
      <c r="AE587"/>
      <c r="AF587"/>
      <c r="AG587"/>
      <c r="AH587"/>
      <c r="AI587"/>
      <c r="AJ587"/>
      <c r="AK587"/>
      <c r="AL587"/>
      <c r="AM587"/>
    </row>
    <row r="588" spans="2:39">
      <c r="B588" s="209"/>
      <c r="C588" s="209"/>
      <c r="I588"/>
      <c r="J588"/>
      <c r="K588"/>
      <c r="L588"/>
      <c r="M588"/>
      <c r="N588"/>
      <c r="Q588"/>
      <c r="R588"/>
      <c r="S588"/>
      <c r="T588"/>
      <c r="U588"/>
      <c r="V588"/>
      <c r="W588"/>
      <c r="X588"/>
      <c r="Y588"/>
      <c r="Z588"/>
      <c r="AA588"/>
      <c r="AB588"/>
      <c r="AC588"/>
      <c r="AD588"/>
      <c r="AE588"/>
      <c r="AF588"/>
      <c r="AG588"/>
      <c r="AH588"/>
      <c r="AI588"/>
      <c r="AJ588"/>
      <c r="AK588"/>
      <c r="AL588"/>
      <c r="AM588"/>
    </row>
    <row r="589" spans="2:39">
      <c r="B589" s="209"/>
      <c r="C589" s="209"/>
      <c r="I589"/>
      <c r="J589"/>
      <c r="K589"/>
      <c r="L589"/>
      <c r="M589"/>
      <c r="N589"/>
      <c r="Q589"/>
      <c r="R589"/>
      <c r="S589"/>
      <c r="T589"/>
      <c r="U589"/>
      <c r="V589"/>
      <c r="W589"/>
      <c r="X589"/>
      <c r="Y589"/>
      <c r="Z589"/>
      <c r="AA589"/>
      <c r="AB589"/>
      <c r="AC589"/>
      <c r="AD589"/>
      <c r="AE589"/>
      <c r="AF589"/>
      <c r="AG589"/>
      <c r="AH589"/>
      <c r="AI589"/>
      <c r="AJ589"/>
      <c r="AK589"/>
      <c r="AL589"/>
      <c r="AM589"/>
    </row>
    <row r="590" spans="2:39">
      <c r="B590" s="209"/>
      <c r="C590" s="209"/>
      <c r="I590"/>
      <c r="J590"/>
      <c r="K590"/>
      <c r="L590"/>
      <c r="M590"/>
      <c r="N590"/>
      <c r="Q590"/>
      <c r="R590"/>
      <c r="S590"/>
      <c r="T590"/>
      <c r="U590"/>
      <c r="V590"/>
      <c r="W590"/>
      <c r="X590"/>
      <c r="Y590"/>
      <c r="Z590"/>
      <c r="AA590"/>
      <c r="AB590"/>
      <c r="AC590"/>
      <c r="AD590"/>
      <c r="AE590"/>
      <c r="AF590"/>
      <c r="AG590"/>
      <c r="AH590"/>
      <c r="AI590"/>
      <c r="AJ590"/>
      <c r="AK590"/>
      <c r="AL590"/>
      <c r="AM590"/>
    </row>
    <row r="591" spans="2:39">
      <c r="B591" s="209"/>
      <c r="C591" s="209"/>
      <c r="I591"/>
      <c r="J591"/>
      <c r="K591"/>
      <c r="L591"/>
      <c r="M591"/>
      <c r="N591"/>
      <c r="Q591"/>
      <c r="R591"/>
      <c r="S591"/>
      <c r="T591"/>
      <c r="U591"/>
      <c r="V591"/>
      <c r="W591"/>
      <c r="X591"/>
      <c r="Y591"/>
      <c r="Z591"/>
      <c r="AA591"/>
      <c r="AB591"/>
      <c r="AC591"/>
      <c r="AD591"/>
      <c r="AE591"/>
      <c r="AF591"/>
      <c r="AG591"/>
      <c r="AH591"/>
      <c r="AI591"/>
      <c r="AJ591"/>
      <c r="AK591"/>
      <c r="AL591"/>
      <c r="AM591"/>
    </row>
    <row r="592" spans="2:39">
      <c r="B592" s="209"/>
      <c r="C592" s="209"/>
      <c r="I592"/>
      <c r="J592"/>
      <c r="K592"/>
      <c r="L592"/>
      <c r="M592"/>
      <c r="N592"/>
      <c r="Q592"/>
      <c r="R592"/>
      <c r="S592"/>
      <c r="T592"/>
      <c r="U592"/>
      <c r="V592"/>
      <c r="W592"/>
      <c r="X592"/>
      <c r="Y592"/>
      <c r="Z592"/>
      <c r="AA592"/>
      <c r="AB592"/>
      <c r="AC592"/>
      <c r="AD592"/>
      <c r="AE592"/>
      <c r="AF592"/>
      <c r="AG592"/>
      <c r="AH592"/>
      <c r="AI592"/>
      <c r="AJ592"/>
      <c r="AK592"/>
      <c r="AL592"/>
      <c r="AM592"/>
    </row>
    <row r="593" spans="2:39">
      <c r="B593" s="209"/>
      <c r="C593" s="209"/>
      <c r="I593"/>
      <c r="J593"/>
      <c r="K593"/>
      <c r="L593"/>
      <c r="M593"/>
      <c r="N593"/>
      <c r="Q593"/>
      <c r="R593"/>
      <c r="S593"/>
      <c r="T593"/>
      <c r="U593"/>
      <c r="V593"/>
      <c r="W593"/>
      <c r="X593"/>
      <c r="Y593"/>
      <c r="Z593"/>
      <c r="AA593"/>
      <c r="AB593"/>
      <c r="AC593"/>
      <c r="AD593"/>
      <c r="AE593"/>
      <c r="AF593"/>
      <c r="AG593"/>
      <c r="AH593"/>
      <c r="AI593"/>
      <c r="AJ593"/>
      <c r="AK593"/>
      <c r="AL593"/>
      <c r="AM593"/>
    </row>
    <row r="594" spans="2:39">
      <c r="B594" s="209"/>
      <c r="C594" s="209"/>
      <c r="I594"/>
      <c r="J594"/>
      <c r="K594"/>
      <c r="L594"/>
      <c r="M594"/>
      <c r="N594"/>
      <c r="Q594"/>
      <c r="R594"/>
      <c r="S594"/>
      <c r="T594"/>
      <c r="U594"/>
      <c r="V594"/>
      <c r="W594"/>
      <c r="X594"/>
      <c r="Y594"/>
      <c r="Z594"/>
      <c r="AA594"/>
      <c r="AB594"/>
      <c r="AC594"/>
      <c r="AD594"/>
      <c r="AE594"/>
      <c r="AF594"/>
      <c r="AG594"/>
      <c r="AH594"/>
      <c r="AI594"/>
      <c r="AJ594"/>
      <c r="AK594"/>
      <c r="AL594"/>
      <c r="AM594"/>
    </row>
    <row r="595" spans="2:39">
      <c r="B595" s="209"/>
      <c r="C595" s="209"/>
      <c r="I595"/>
      <c r="J595"/>
      <c r="K595"/>
      <c r="L595"/>
      <c r="M595"/>
      <c r="N595"/>
      <c r="Q595"/>
      <c r="R595"/>
      <c r="S595"/>
      <c r="T595"/>
      <c r="U595"/>
      <c r="V595"/>
      <c r="W595"/>
      <c r="X595"/>
      <c r="Y595"/>
      <c r="Z595"/>
      <c r="AA595"/>
      <c r="AB595"/>
      <c r="AC595"/>
      <c r="AD595"/>
      <c r="AE595"/>
      <c r="AF595"/>
      <c r="AG595"/>
      <c r="AH595"/>
      <c r="AI595"/>
      <c r="AJ595"/>
      <c r="AK595"/>
      <c r="AL595"/>
      <c r="AM595"/>
    </row>
    <row r="596" spans="2:39">
      <c r="B596" s="209"/>
      <c r="C596" s="209"/>
      <c r="I596"/>
      <c r="J596"/>
      <c r="K596"/>
      <c r="L596"/>
      <c r="M596"/>
      <c r="N596"/>
      <c r="Q596"/>
      <c r="R596"/>
      <c r="S596"/>
      <c r="T596"/>
      <c r="U596"/>
      <c r="V596"/>
      <c r="W596"/>
      <c r="X596"/>
      <c r="Y596"/>
      <c r="Z596"/>
      <c r="AA596"/>
      <c r="AB596"/>
      <c r="AC596"/>
      <c r="AD596"/>
      <c r="AE596"/>
      <c r="AF596"/>
      <c r="AG596"/>
      <c r="AH596"/>
      <c r="AI596"/>
      <c r="AJ596"/>
      <c r="AK596"/>
      <c r="AL596"/>
      <c r="AM596"/>
    </row>
    <row r="597" spans="2:39">
      <c r="B597" s="209"/>
      <c r="C597" s="209"/>
      <c r="I597"/>
      <c r="J597"/>
      <c r="K597"/>
      <c r="L597"/>
      <c r="M597"/>
      <c r="N597"/>
      <c r="Q597"/>
      <c r="R597"/>
      <c r="S597"/>
      <c r="T597"/>
      <c r="U597"/>
      <c r="V597"/>
      <c r="W597"/>
      <c r="X597"/>
      <c r="Y597"/>
      <c r="Z597"/>
      <c r="AA597"/>
      <c r="AB597"/>
      <c r="AC597"/>
      <c r="AD597"/>
      <c r="AE597"/>
      <c r="AF597"/>
      <c r="AG597"/>
      <c r="AH597"/>
      <c r="AI597"/>
      <c r="AJ597"/>
      <c r="AK597"/>
      <c r="AL597"/>
      <c r="AM597"/>
    </row>
    <row r="598" spans="2:39">
      <c r="B598" s="209"/>
      <c r="C598" s="209"/>
      <c r="I598"/>
      <c r="J598"/>
      <c r="K598"/>
      <c r="L598"/>
      <c r="M598"/>
      <c r="N598"/>
      <c r="Q598"/>
      <c r="R598"/>
      <c r="S598"/>
      <c r="T598"/>
      <c r="U598"/>
      <c r="V598"/>
      <c r="W598"/>
      <c r="X598"/>
      <c r="Y598"/>
      <c r="Z598"/>
      <c r="AA598"/>
      <c r="AB598"/>
      <c r="AC598"/>
      <c r="AD598"/>
      <c r="AE598"/>
      <c r="AF598"/>
      <c r="AG598"/>
      <c r="AH598"/>
      <c r="AI598"/>
      <c r="AJ598"/>
      <c r="AK598"/>
      <c r="AL598"/>
      <c r="AM598"/>
    </row>
    <row r="599" spans="2:39">
      <c r="B599" s="209"/>
      <c r="C599" s="209"/>
      <c r="I599"/>
      <c r="J599"/>
      <c r="K599"/>
      <c r="L599"/>
      <c r="M599"/>
      <c r="N599"/>
      <c r="Q599"/>
      <c r="R599"/>
      <c r="S599"/>
      <c r="T599"/>
      <c r="U599"/>
      <c r="V599"/>
      <c r="W599"/>
      <c r="X599"/>
      <c r="Y599"/>
      <c r="Z599"/>
      <c r="AA599"/>
      <c r="AB599"/>
      <c r="AC599"/>
      <c r="AD599"/>
      <c r="AE599"/>
      <c r="AF599"/>
      <c r="AG599"/>
      <c r="AH599"/>
      <c r="AI599"/>
      <c r="AJ599"/>
      <c r="AK599"/>
      <c r="AL599"/>
      <c r="AM599"/>
    </row>
    <row r="600" spans="2:39">
      <c r="B600" s="209"/>
      <c r="C600" s="209"/>
      <c r="I600"/>
      <c r="J600"/>
      <c r="K600"/>
      <c r="L600"/>
      <c r="M600"/>
      <c r="N600"/>
      <c r="Q600"/>
      <c r="R600"/>
      <c r="S600"/>
      <c r="T600"/>
      <c r="U600"/>
      <c r="V600"/>
      <c r="W600"/>
      <c r="X600"/>
      <c r="Y600"/>
      <c r="Z600"/>
      <c r="AA600"/>
      <c r="AB600"/>
      <c r="AC600"/>
      <c r="AD600"/>
      <c r="AE600"/>
      <c r="AF600"/>
      <c r="AG600"/>
      <c r="AH600"/>
      <c r="AI600"/>
      <c r="AJ600"/>
      <c r="AK600"/>
      <c r="AL600"/>
      <c r="AM600"/>
    </row>
    <row r="601" spans="2:39">
      <c r="B601" s="209"/>
      <c r="C601" s="209"/>
      <c r="I601"/>
      <c r="J601"/>
      <c r="K601"/>
      <c r="L601"/>
      <c r="M601"/>
      <c r="N601"/>
      <c r="Q601"/>
      <c r="R601"/>
      <c r="S601"/>
      <c r="T601"/>
      <c r="U601"/>
      <c r="V601"/>
      <c r="W601"/>
      <c r="X601"/>
      <c r="Y601"/>
      <c r="Z601"/>
      <c r="AA601"/>
      <c r="AB601"/>
      <c r="AC601"/>
      <c r="AD601"/>
      <c r="AE601"/>
      <c r="AF601"/>
      <c r="AG601"/>
      <c r="AH601"/>
      <c r="AI601"/>
      <c r="AJ601"/>
      <c r="AK601"/>
      <c r="AL601"/>
      <c r="AM601"/>
    </row>
    <row r="602" spans="2:39">
      <c r="B602" s="209"/>
      <c r="C602" s="209"/>
      <c r="I602"/>
      <c r="J602"/>
      <c r="K602"/>
      <c r="L602"/>
      <c r="M602"/>
      <c r="N602"/>
      <c r="Q602"/>
      <c r="R602"/>
      <c r="S602"/>
      <c r="T602"/>
      <c r="U602"/>
      <c r="V602"/>
      <c r="W602"/>
      <c r="X602"/>
      <c r="Y602"/>
      <c r="Z602"/>
      <c r="AA602"/>
      <c r="AB602"/>
      <c r="AC602"/>
      <c r="AD602"/>
      <c r="AE602"/>
      <c r="AF602"/>
      <c r="AG602"/>
      <c r="AH602"/>
      <c r="AI602"/>
      <c r="AJ602"/>
      <c r="AK602"/>
      <c r="AL602"/>
      <c r="AM602"/>
    </row>
    <row r="603" spans="2:39">
      <c r="B603" s="209"/>
      <c r="C603" s="209"/>
      <c r="I603"/>
      <c r="J603"/>
      <c r="K603"/>
      <c r="L603"/>
      <c r="M603"/>
      <c r="N603"/>
      <c r="Q603"/>
      <c r="R603"/>
      <c r="S603"/>
      <c r="T603"/>
      <c r="U603"/>
      <c r="V603"/>
      <c r="W603"/>
      <c r="X603"/>
      <c r="Y603"/>
      <c r="Z603"/>
      <c r="AA603"/>
      <c r="AB603"/>
      <c r="AC603"/>
      <c r="AD603"/>
      <c r="AE603"/>
      <c r="AF603"/>
      <c r="AG603"/>
      <c r="AH603"/>
      <c r="AI603"/>
      <c r="AJ603"/>
      <c r="AK603"/>
      <c r="AL603"/>
      <c r="AM603"/>
    </row>
    <row r="604" spans="2:39">
      <c r="B604" s="209"/>
      <c r="C604" s="209"/>
      <c r="I604"/>
      <c r="J604"/>
      <c r="K604"/>
      <c r="L604"/>
      <c r="M604"/>
      <c r="N604"/>
      <c r="Q604"/>
      <c r="R604"/>
      <c r="S604"/>
      <c r="T604"/>
      <c r="U604"/>
      <c r="V604"/>
      <c r="W604"/>
      <c r="X604"/>
      <c r="Y604"/>
      <c r="Z604"/>
      <c r="AA604"/>
      <c r="AB604"/>
      <c r="AC604"/>
      <c r="AD604"/>
      <c r="AE604"/>
      <c r="AF604"/>
      <c r="AG604"/>
      <c r="AH604"/>
      <c r="AI604"/>
      <c r="AJ604"/>
      <c r="AK604"/>
      <c r="AL604"/>
      <c r="AM604"/>
    </row>
    <row r="605" spans="2:39">
      <c r="B605" s="209"/>
      <c r="C605" s="209"/>
      <c r="I605"/>
      <c r="J605"/>
      <c r="K605"/>
      <c r="L605"/>
      <c r="M605"/>
      <c r="N605"/>
      <c r="Q605"/>
      <c r="R605"/>
      <c r="S605"/>
      <c r="T605"/>
      <c r="U605"/>
      <c r="V605"/>
      <c r="W605"/>
      <c r="X605"/>
      <c r="Y605"/>
      <c r="Z605"/>
      <c r="AA605"/>
      <c r="AB605"/>
      <c r="AC605"/>
      <c r="AD605"/>
      <c r="AE605"/>
      <c r="AF605"/>
      <c r="AG605"/>
      <c r="AH605"/>
      <c r="AI605"/>
      <c r="AJ605"/>
      <c r="AK605"/>
      <c r="AL605"/>
      <c r="AM605"/>
    </row>
    <row r="606" spans="2:39">
      <c r="B606" s="209"/>
      <c r="C606" s="209"/>
      <c r="I606"/>
      <c r="J606"/>
      <c r="K606"/>
      <c r="L606"/>
      <c r="M606"/>
      <c r="N606"/>
      <c r="Q606"/>
      <c r="R606"/>
      <c r="S606"/>
      <c r="T606"/>
      <c r="U606"/>
      <c r="V606"/>
      <c r="W606"/>
      <c r="X606"/>
      <c r="Y606"/>
      <c r="Z606"/>
      <c r="AA606"/>
      <c r="AB606"/>
      <c r="AC606"/>
      <c r="AD606"/>
      <c r="AE606"/>
      <c r="AF606"/>
      <c r="AG606"/>
      <c r="AH606"/>
      <c r="AI606"/>
      <c r="AJ606"/>
      <c r="AK606"/>
      <c r="AL606"/>
      <c r="AM606"/>
    </row>
    <row r="607" spans="2:39">
      <c r="B607" s="209"/>
      <c r="C607" s="209"/>
      <c r="I607"/>
      <c r="J607"/>
      <c r="K607"/>
      <c r="L607"/>
      <c r="M607"/>
      <c r="N607"/>
      <c r="Q607"/>
      <c r="R607"/>
      <c r="S607"/>
      <c r="T607"/>
      <c r="U607"/>
      <c r="V607"/>
      <c r="W607"/>
      <c r="X607"/>
      <c r="Y607"/>
      <c r="Z607"/>
      <c r="AA607"/>
      <c r="AB607"/>
      <c r="AC607"/>
      <c r="AD607"/>
      <c r="AE607"/>
      <c r="AF607"/>
      <c r="AG607"/>
      <c r="AH607"/>
      <c r="AI607"/>
      <c r="AJ607"/>
      <c r="AK607"/>
      <c r="AL607"/>
      <c r="AM607"/>
    </row>
    <row r="608" spans="2:39">
      <c r="B608" s="209"/>
      <c r="C608" s="209"/>
      <c r="I608"/>
      <c r="J608"/>
      <c r="K608"/>
      <c r="L608"/>
      <c r="M608"/>
      <c r="N608"/>
      <c r="Q608"/>
      <c r="R608"/>
      <c r="S608"/>
      <c r="T608"/>
      <c r="U608"/>
      <c r="V608"/>
      <c r="W608"/>
      <c r="X608"/>
      <c r="Y608"/>
      <c r="Z608"/>
      <c r="AA608"/>
      <c r="AB608"/>
      <c r="AC608"/>
      <c r="AD608"/>
      <c r="AE608"/>
      <c r="AF608"/>
      <c r="AG608"/>
      <c r="AH608"/>
      <c r="AI608"/>
      <c r="AJ608"/>
      <c r="AK608"/>
      <c r="AL608"/>
      <c r="AM608"/>
    </row>
    <row r="609" spans="2:39">
      <c r="B609" s="209"/>
      <c r="C609" s="209"/>
      <c r="I609"/>
      <c r="J609"/>
      <c r="K609"/>
      <c r="L609"/>
      <c r="M609"/>
      <c r="N609"/>
      <c r="Q609"/>
      <c r="R609"/>
      <c r="S609"/>
      <c r="T609"/>
      <c r="U609"/>
      <c r="V609"/>
      <c r="W609"/>
      <c r="X609"/>
      <c r="Y609"/>
      <c r="Z609"/>
      <c r="AA609"/>
      <c r="AB609"/>
      <c r="AC609"/>
      <c r="AD609"/>
      <c r="AE609"/>
      <c r="AF609"/>
      <c r="AG609"/>
      <c r="AH609"/>
      <c r="AI609"/>
      <c r="AJ609"/>
      <c r="AK609"/>
      <c r="AL609"/>
      <c r="AM609"/>
    </row>
    <row r="610" spans="2:39">
      <c r="B610" s="209"/>
      <c r="C610" s="209"/>
      <c r="I610"/>
      <c r="J610"/>
      <c r="K610"/>
      <c r="L610"/>
      <c r="M610"/>
      <c r="N610"/>
      <c r="Q610"/>
      <c r="R610"/>
      <c r="S610"/>
      <c r="T610"/>
      <c r="U610"/>
      <c r="V610"/>
      <c r="W610"/>
      <c r="X610"/>
      <c r="Y610"/>
      <c r="Z610"/>
      <c r="AA610"/>
      <c r="AB610"/>
      <c r="AC610"/>
      <c r="AD610"/>
      <c r="AE610"/>
      <c r="AF610"/>
      <c r="AG610"/>
      <c r="AH610"/>
      <c r="AI610"/>
      <c r="AJ610"/>
      <c r="AK610"/>
      <c r="AL610"/>
      <c r="AM610"/>
    </row>
    <row r="611" spans="2:39">
      <c r="B611" s="209"/>
      <c r="C611" s="209"/>
      <c r="I611"/>
      <c r="J611"/>
      <c r="K611"/>
      <c r="L611"/>
      <c r="M611"/>
      <c r="N611"/>
      <c r="Q611"/>
      <c r="R611"/>
      <c r="S611"/>
      <c r="T611"/>
      <c r="U611"/>
      <c r="V611"/>
      <c r="W611"/>
      <c r="X611"/>
      <c r="Y611"/>
      <c r="Z611"/>
      <c r="AA611"/>
      <c r="AB611"/>
      <c r="AC611"/>
      <c r="AD611"/>
      <c r="AE611"/>
      <c r="AF611"/>
      <c r="AG611"/>
      <c r="AH611"/>
      <c r="AI611"/>
      <c r="AJ611"/>
      <c r="AK611"/>
      <c r="AL611"/>
      <c r="AM611"/>
    </row>
    <row r="612" spans="2:39">
      <c r="B612" s="209"/>
      <c r="C612" s="209"/>
      <c r="I612"/>
      <c r="J612"/>
      <c r="K612"/>
      <c r="L612"/>
      <c r="M612"/>
      <c r="N612"/>
      <c r="Q612"/>
      <c r="R612"/>
      <c r="S612"/>
      <c r="T612"/>
      <c r="U612"/>
      <c r="V612"/>
      <c r="W612"/>
      <c r="X612"/>
      <c r="Y612"/>
      <c r="Z612"/>
      <c r="AA612"/>
      <c r="AB612"/>
      <c r="AC612"/>
      <c r="AD612"/>
      <c r="AE612"/>
      <c r="AF612"/>
      <c r="AG612"/>
      <c r="AH612"/>
      <c r="AI612"/>
      <c r="AJ612"/>
      <c r="AK612"/>
      <c r="AL612"/>
      <c r="AM612"/>
    </row>
    <row r="613" spans="2:39">
      <c r="B613" s="209"/>
      <c r="C613" s="209"/>
      <c r="I613"/>
      <c r="J613"/>
      <c r="K613"/>
      <c r="L613"/>
      <c r="M613"/>
      <c r="N613"/>
      <c r="Q613"/>
      <c r="R613"/>
      <c r="S613"/>
      <c r="T613"/>
      <c r="U613"/>
      <c r="V613"/>
      <c r="W613"/>
      <c r="X613"/>
      <c r="Y613"/>
      <c r="Z613"/>
      <c r="AA613"/>
      <c r="AB613"/>
      <c r="AC613"/>
      <c r="AD613"/>
      <c r="AE613"/>
      <c r="AF613"/>
      <c r="AG613"/>
      <c r="AH613"/>
      <c r="AI613"/>
      <c r="AJ613"/>
      <c r="AK613"/>
      <c r="AL613"/>
      <c r="AM613"/>
    </row>
    <row r="614" spans="2:39">
      <c r="B614" s="209"/>
      <c r="C614" s="209"/>
      <c r="I614"/>
      <c r="J614"/>
      <c r="K614"/>
      <c r="L614"/>
      <c r="M614"/>
      <c r="N614"/>
      <c r="Q614"/>
      <c r="R614"/>
      <c r="S614"/>
      <c r="T614"/>
      <c r="U614"/>
      <c r="V614"/>
      <c r="W614"/>
      <c r="X614"/>
      <c r="Y614"/>
      <c r="Z614"/>
      <c r="AA614"/>
      <c r="AB614"/>
      <c r="AC614"/>
      <c r="AD614"/>
      <c r="AE614"/>
      <c r="AF614"/>
      <c r="AG614"/>
      <c r="AH614"/>
      <c r="AI614"/>
      <c r="AJ614"/>
      <c r="AK614"/>
      <c r="AL614"/>
      <c r="AM614"/>
    </row>
    <row r="615" spans="2:39">
      <c r="B615" s="209"/>
      <c r="C615" s="209"/>
      <c r="I615"/>
      <c r="J615"/>
      <c r="K615"/>
      <c r="L615"/>
      <c r="M615"/>
      <c r="N615"/>
      <c r="Q615"/>
      <c r="R615"/>
      <c r="S615"/>
      <c r="T615"/>
      <c r="U615"/>
      <c r="V615"/>
      <c r="W615"/>
      <c r="X615"/>
      <c r="Y615"/>
      <c r="Z615"/>
      <c r="AA615"/>
      <c r="AB615"/>
      <c r="AC615"/>
      <c r="AD615"/>
      <c r="AE615"/>
      <c r="AF615"/>
      <c r="AG615"/>
      <c r="AH615"/>
      <c r="AI615"/>
      <c r="AJ615"/>
      <c r="AK615"/>
      <c r="AL615"/>
      <c r="AM615"/>
    </row>
    <row r="616" spans="2:39">
      <c r="B616" s="209"/>
      <c r="C616" s="209"/>
      <c r="I616"/>
      <c r="J616"/>
      <c r="K616"/>
      <c r="L616"/>
      <c r="M616"/>
      <c r="N616"/>
      <c r="Q616"/>
      <c r="R616"/>
      <c r="S616"/>
      <c r="T616"/>
      <c r="U616"/>
      <c r="V616"/>
      <c r="W616"/>
      <c r="X616"/>
      <c r="Y616"/>
      <c r="Z616"/>
      <c r="AA616"/>
      <c r="AB616"/>
      <c r="AC616"/>
      <c r="AD616"/>
      <c r="AE616"/>
      <c r="AF616"/>
      <c r="AG616"/>
      <c r="AH616"/>
      <c r="AI616"/>
      <c r="AJ616"/>
      <c r="AK616"/>
      <c r="AL616"/>
      <c r="AM616"/>
    </row>
    <row r="617" spans="2:39">
      <c r="B617" s="209"/>
      <c r="C617" s="209"/>
      <c r="I617"/>
      <c r="J617"/>
      <c r="K617"/>
      <c r="L617"/>
      <c r="M617"/>
      <c r="N617"/>
      <c r="Q617"/>
      <c r="R617"/>
      <c r="S617"/>
      <c r="T617"/>
      <c r="U617"/>
      <c r="V617"/>
      <c r="W617"/>
      <c r="X617"/>
      <c r="Y617"/>
      <c r="Z617"/>
      <c r="AA617"/>
      <c r="AB617"/>
      <c r="AC617"/>
      <c r="AD617"/>
      <c r="AE617"/>
      <c r="AF617"/>
      <c r="AG617"/>
      <c r="AH617"/>
      <c r="AI617"/>
      <c r="AJ617"/>
      <c r="AK617"/>
      <c r="AL617"/>
      <c r="AM617"/>
    </row>
    <row r="618" spans="2:39">
      <c r="B618" s="209"/>
      <c r="C618" s="209"/>
      <c r="I618"/>
      <c r="J618"/>
      <c r="K618"/>
      <c r="L618"/>
      <c r="M618"/>
      <c r="N618"/>
      <c r="Q618"/>
      <c r="R618"/>
      <c r="S618"/>
      <c r="T618"/>
      <c r="U618"/>
      <c r="V618"/>
      <c r="W618"/>
      <c r="X618"/>
      <c r="Y618"/>
      <c r="Z618"/>
      <c r="AA618"/>
      <c r="AB618"/>
      <c r="AC618"/>
      <c r="AD618"/>
      <c r="AE618"/>
      <c r="AF618"/>
      <c r="AG618"/>
      <c r="AH618"/>
      <c r="AI618"/>
      <c r="AJ618"/>
      <c r="AK618"/>
      <c r="AL618"/>
      <c r="AM618"/>
    </row>
    <row r="619" spans="2:39">
      <c r="B619" s="209"/>
      <c r="C619" s="209"/>
      <c r="I619"/>
      <c r="J619"/>
      <c r="K619"/>
      <c r="L619"/>
      <c r="M619"/>
      <c r="N619"/>
      <c r="Q619"/>
      <c r="R619"/>
      <c r="S619"/>
      <c r="T619"/>
      <c r="U619"/>
      <c r="V619"/>
      <c r="W619"/>
      <c r="X619"/>
      <c r="Y619"/>
      <c r="Z619"/>
      <c r="AA619"/>
      <c r="AB619"/>
      <c r="AC619"/>
      <c r="AD619"/>
      <c r="AE619"/>
      <c r="AF619"/>
      <c r="AG619"/>
      <c r="AH619"/>
      <c r="AI619"/>
      <c r="AJ619"/>
      <c r="AK619"/>
      <c r="AL619"/>
      <c r="AM619"/>
    </row>
    <row r="620" spans="2:39">
      <c r="B620" s="209"/>
      <c r="C620" s="209"/>
      <c r="I620"/>
      <c r="J620"/>
      <c r="K620"/>
      <c r="L620"/>
      <c r="M620"/>
      <c r="N620"/>
      <c r="Q620"/>
      <c r="R620"/>
      <c r="S620"/>
      <c r="T620"/>
      <c r="U620"/>
      <c r="V620"/>
      <c r="W620"/>
      <c r="X620"/>
      <c r="Y620"/>
      <c r="Z620"/>
      <c r="AA620"/>
      <c r="AB620"/>
      <c r="AC620"/>
      <c r="AD620"/>
      <c r="AE620"/>
      <c r="AF620"/>
      <c r="AG620"/>
      <c r="AH620"/>
      <c r="AI620"/>
      <c r="AJ620"/>
      <c r="AK620"/>
      <c r="AL620"/>
      <c r="AM620"/>
    </row>
    <row r="621" spans="2:39">
      <c r="B621" s="209"/>
      <c r="C621" s="209"/>
      <c r="I621"/>
      <c r="J621"/>
      <c r="K621"/>
      <c r="L621"/>
      <c r="M621"/>
      <c r="N621"/>
      <c r="Q621"/>
      <c r="R621"/>
      <c r="S621"/>
      <c r="T621"/>
      <c r="U621"/>
      <c r="V621"/>
      <c r="W621"/>
      <c r="X621"/>
      <c r="Y621"/>
      <c r="Z621"/>
      <c r="AA621"/>
      <c r="AB621"/>
      <c r="AC621"/>
      <c r="AD621"/>
      <c r="AE621"/>
      <c r="AF621"/>
      <c r="AG621"/>
      <c r="AH621"/>
      <c r="AI621"/>
      <c r="AJ621"/>
      <c r="AK621"/>
      <c r="AL621"/>
      <c r="AM621"/>
    </row>
    <row r="622" spans="2:39">
      <c r="B622" s="209"/>
      <c r="C622" s="209"/>
      <c r="I622"/>
      <c r="J622"/>
      <c r="K622"/>
      <c r="L622"/>
      <c r="M622"/>
      <c r="N622"/>
      <c r="Q622"/>
      <c r="R622"/>
      <c r="S622"/>
      <c r="T622"/>
      <c r="U622"/>
      <c r="V622"/>
      <c r="W622"/>
      <c r="X622"/>
      <c r="Y622"/>
      <c r="Z622"/>
      <c r="AA622"/>
      <c r="AB622"/>
      <c r="AC622"/>
      <c r="AD622"/>
      <c r="AE622"/>
      <c r="AF622"/>
      <c r="AG622"/>
      <c r="AH622"/>
      <c r="AI622"/>
      <c r="AJ622"/>
      <c r="AK622"/>
      <c r="AL622"/>
      <c r="AM622"/>
    </row>
    <row r="623" spans="2:39">
      <c r="B623" s="209"/>
      <c r="C623" s="209"/>
      <c r="I623"/>
      <c r="J623"/>
      <c r="K623"/>
      <c r="L623"/>
      <c r="M623"/>
      <c r="N623"/>
      <c r="Q623"/>
      <c r="R623"/>
      <c r="S623"/>
      <c r="T623"/>
      <c r="U623"/>
      <c r="V623"/>
      <c r="W623"/>
      <c r="X623"/>
      <c r="Y623"/>
      <c r="Z623"/>
      <c r="AA623"/>
      <c r="AB623"/>
      <c r="AC623"/>
      <c r="AD623"/>
      <c r="AE623"/>
      <c r="AF623"/>
      <c r="AG623"/>
      <c r="AH623"/>
      <c r="AI623"/>
      <c r="AJ623"/>
      <c r="AK623"/>
      <c r="AL623"/>
      <c r="AM623"/>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61"/>
  <sheetViews>
    <sheetView zoomScaleNormal="100" workbookViewId="0">
      <pane xSplit="1" topLeftCell="B1" activePane="topRight" state="frozenSplit"/>
      <selection activeCell="N16" sqref="N16"/>
      <selection pane="topRight" activeCell="A2" sqref="A2"/>
    </sheetView>
  </sheetViews>
  <sheetFormatPr baseColWidth="10" defaultRowHeight="16"/>
  <cols>
    <col min="1" max="1" width="38" style="221" customWidth="1"/>
    <col min="2" max="2" width="37.5" style="221" bestFit="1" customWidth="1"/>
    <col min="3" max="3" width="38.33203125" style="221" bestFit="1" customWidth="1"/>
    <col min="4" max="4" width="38.5" style="221" bestFit="1" customWidth="1"/>
    <col min="5" max="5" width="40.33203125" style="221" bestFit="1" customWidth="1"/>
    <col min="6" max="6" width="36.6640625" style="221" bestFit="1" customWidth="1"/>
    <col min="7" max="7" width="36.1640625" style="221" bestFit="1" customWidth="1"/>
    <col min="8" max="8" width="46" style="221" bestFit="1" customWidth="1"/>
    <col min="9" max="9" width="46.5" style="221" bestFit="1" customWidth="1"/>
    <col min="10" max="10" width="46" style="221" bestFit="1" customWidth="1"/>
    <col min="11" max="11" width="44.6640625" style="221" bestFit="1" customWidth="1"/>
    <col min="12" max="12" width="45.1640625" style="221" bestFit="1" customWidth="1"/>
    <col min="13" max="13" width="44.6640625" style="221" bestFit="1" customWidth="1"/>
    <col min="14" max="14" width="25.33203125" style="221" bestFit="1" customWidth="1"/>
    <col min="15" max="15" width="25.83203125" style="221" bestFit="1" customWidth="1"/>
    <col min="16" max="16" width="25.33203125" style="221" bestFit="1" customWidth="1"/>
    <col min="17" max="17" width="23.6640625" style="221" bestFit="1" customWidth="1"/>
    <col min="18" max="18" width="24.33203125" style="221" bestFit="1" customWidth="1"/>
    <col min="19" max="19" width="23.6640625" style="221" bestFit="1" customWidth="1"/>
    <col min="20" max="20" width="32.1640625" style="221" bestFit="1" customWidth="1"/>
    <col min="21" max="21" width="32.6640625" style="221" bestFit="1" customWidth="1"/>
    <col min="22" max="22" width="32.1640625" style="221" bestFit="1" customWidth="1"/>
    <col min="23" max="16384" width="10.83203125" style="221"/>
  </cols>
  <sheetData>
    <row r="1" spans="1:24">
      <c r="A1" s="221" t="s">
        <v>991</v>
      </c>
    </row>
    <row r="2" spans="1:24">
      <c r="B2" s="316">
        <f>COLUMN()</f>
        <v>2</v>
      </c>
      <c r="C2" s="221">
        <f>COLUMN()</f>
        <v>3</v>
      </c>
      <c r="D2" s="316">
        <f>COLUMN()</f>
        <v>4</v>
      </c>
      <c r="E2" s="316">
        <f>COLUMN()</f>
        <v>5</v>
      </c>
      <c r="F2" s="316">
        <f>COLUMN()</f>
        <v>6</v>
      </c>
      <c r="G2" s="316">
        <f>COLUMN()</f>
        <v>7</v>
      </c>
      <c r="H2" s="316">
        <f>COLUMN()</f>
        <v>8</v>
      </c>
      <c r="I2" s="316">
        <f>COLUMN()</f>
        <v>9</v>
      </c>
      <c r="J2" s="316">
        <f>COLUMN()</f>
        <v>10</v>
      </c>
      <c r="K2" s="316">
        <f>COLUMN()</f>
        <v>11</v>
      </c>
      <c r="L2" s="316">
        <f>COLUMN()</f>
        <v>12</v>
      </c>
      <c r="M2" s="316">
        <f>COLUMN()</f>
        <v>13</v>
      </c>
      <c r="N2" s="316">
        <f>COLUMN()</f>
        <v>14</v>
      </c>
      <c r="O2" s="316">
        <f>COLUMN()</f>
        <v>15</v>
      </c>
      <c r="P2" s="316">
        <f>COLUMN()</f>
        <v>16</v>
      </c>
      <c r="Q2" s="316">
        <f>COLUMN()</f>
        <v>17</v>
      </c>
      <c r="R2" s="316">
        <f>COLUMN()</f>
        <v>18</v>
      </c>
      <c r="S2" s="316">
        <f>COLUMN()</f>
        <v>19</v>
      </c>
      <c r="T2" s="316">
        <f>COLUMN()</f>
        <v>20</v>
      </c>
      <c r="U2" s="316">
        <f>COLUMN()</f>
        <v>21</v>
      </c>
      <c r="V2" s="316">
        <f>COLUMN()</f>
        <v>22</v>
      </c>
    </row>
    <row r="3" spans="1:24">
      <c r="A3" s="183" t="s">
        <v>833</v>
      </c>
      <c r="P3" s="294"/>
    </row>
    <row r="4" spans="1:24">
      <c r="A4" s="182" t="s">
        <v>161</v>
      </c>
      <c r="B4" s="182" t="s">
        <v>1033</v>
      </c>
      <c r="C4" s="182" t="s">
        <v>1034</v>
      </c>
      <c r="D4" s="182" t="s">
        <v>1035</v>
      </c>
      <c r="E4" s="182" t="s">
        <v>1036</v>
      </c>
      <c r="F4" s="182" t="s">
        <v>1037</v>
      </c>
      <c r="G4" s="182" t="s">
        <v>1041</v>
      </c>
      <c r="H4" s="182" t="s">
        <v>1038</v>
      </c>
      <c r="I4" s="182" t="s">
        <v>1039</v>
      </c>
      <c r="J4" s="182" t="s">
        <v>1040</v>
      </c>
      <c r="K4" s="182" t="s">
        <v>1042</v>
      </c>
      <c r="L4" s="182" t="s">
        <v>1043</v>
      </c>
      <c r="M4" s="182" t="s">
        <v>1044</v>
      </c>
      <c r="N4" s="182" t="s">
        <v>834</v>
      </c>
      <c r="O4" s="182" t="s">
        <v>835</v>
      </c>
      <c r="P4" s="182" t="s">
        <v>836</v>
      </c>
      <c r="Q4" s="182" t="s">
        <v>837</v>
      </c>
      <c r="R4" s="182" t="s">
        <v>838</v>
      </c>
      <c r="S4" s="182" t="s">
        <v>839</v>
      </c>
      <c r="T4" s="182" t="s">
        <v>840</v>
      </c>
      <c r="U4" s="182" t="s">
        <v>841</v>
      </c>
      <c r="V4" s="182" t="s">
        <v>842</v>
      </c>
      <c r="X4" s="294"/>
    </row>
    <row r="5" spans="1:24">
      <c r="A5" s="221" t="s">
        <v>843</v>
      </c>
      <c r="B5" s="321" t="s">
        <v>1046</v>
      </c>
      <c r="C5" s="321" t="s">
        <v>1046</v>
      </c>
      <c r="D5" s="321">
        <v>2</v>
      </c>
      <c r="E5" s="321">
        <v>2</v>
      </c>
      <c r="F5" s="321">
        <v>4</v>
      </c>
      <c r="G5" s="321">
        <v>3</v>
      </c>
      <c r="H5" s="321">
        <v>1</v>
      </c>
      <c r="I5" s="321">
        <v>3</v>
      </c>
      <c r="J5" s="321">
        <v>2</v>
      </c>
      <c r="K5" s="321">
        <v>3</v>
      </c>
      <c r="L5" s="321">
        <v>5</v>
      </c>
      <c r="M5" s="321">
        <v>4</v>
      </c>
      <c r="N5" s="321">
        <v>0.125</v>
      </c>
      <c r="O5" s="321">
        <v>0.15</v>
      </c>
      <c r="P5" s="321">
        <f t="shared" ref="P5:P12" si="0">AVERAGE(N5:O5)</f>
        <v>0.13750000000000001</v>
      </c>
      <c r="Q5" s="321">
        <v>108</v>
      </c>
      <c r="R5" s="321">
        <v>123</v>
      </c>
      <c r="S5" s="321">
        <f t="shared" ref="S5" si="1">AVERAGE(Q5:R5)</f>
        <v>115.5</v>
      </c>
      <c r="T5" s="321">
        <v>14</v>
      </c>
      <c r="U5" s="321">
        <v>18</v>
      </c>
      <c r="V5" s="321">
        <f t="shared" ref="V5:V12" si="2">AVERAGE(T5:U5)</f>
        <v>16</v>
      </c>
      <c r="X5" s="294"/>
    </row>
    <row r="6" spans="1:24">
      <c r="A6" s="221" t="s">
        <v>844</v>
      </c>
      <c r="B6" s="321" t="s">
        <v>1046</v>
      </c>
      <c r="C6" s="321" t="s">
        <v>1046</v>
      </c>
      <c r="D6" s="321">
        <v>2</v>
      </c>
      <c r="E6" s="321">
        <v>2</v>
      </c>
      <c r="F6" s="321">
        <v>3</v>
      </c>
      <c r="G6" s="321">
        <v>2.5</v>
      </c>
      <c r="H6" s="321">
        <v>4</v>
      </c>
      <c r="I6" s="321">
        <v>8</v>
      </c>
      <c r="J6" s="321">
        <v>6</v>
      </c>
      <c r="K6" s="321">
        <v>2</v>
      </c>
      <c r="L6" s="321">
        <v>8</v>
      </c>
      <c r="M6" s="321">
        <v>5</v>
      </c>
      <c r="N6" s="321">
        <v>0.125</v>
      </c>
      <c r="O6" s="321">
        <v>0.15</v>
      </c>
      <c r="P6" s="321">
        <f t="shared" si="0"/>
        <v>0.13750000000000001</v>
      </c>
      <c r="Q6" s="321">
        <v>94</v>
      </c>
      <c r="R6" s="321">
        <v>115</v>
      </c>
      <c r="S6" s="321">
        <f>AVERAGE(Q6:R6)</f>
        <v>104.5</v>
      </c>
      <c r="T6" s="321">
        <v>15</v>
      </c>
      <c r="U6" s="321">
        <v>21</v>
      </c>
      <c r="V6" s="321">
        <f t="shared" si="2"/>
        <v>18</v>
      </c>
      <c r="X6" s="294"/>
    </row>
    <row r="7" spans="1:24">
      <c r="A7" s="221" t="s">
        <v>845</v>
      </c>
      <c r="B7" s="321" t="s">
        <v>1046</v>
      </c>
      <c r="C7" s="321" t="s">
        <v>1046</v>
      </c>
      <c r="D7" s="321">
        <v>5</v>
      </c>
      <c r="E7" s="321" t="s">
        <v>1046</v>
      </c>
      <c r="F7" s="321" t="s">
        <v>1046</v>
      </c>
      <c r="G7" s="321">
        <v>5</v>
      </c>
      <c r="H7" s="321" t="s">
        <v>1046</v>
      </c>
      <c r="I7" s="321" t="s">
        <v>1046</v>
      </c>
      <c r="J7" s="321">
        <v>5</v>
      </c>
      <c r="K7" s="321" t="s">
        <v>1046</v>
      </c>
      <c r="L7" s="321" t="s">
        <v>1046</v>
      </c>
      <c r="M7" s="321">
        <v>5</v>
      </c>
      <c r="N7" s="321">
        <v>0.125</v>
      </c>
      <c r="O7" s="321">
        <v>0.15</v>
      </c>
      <c r="P7" s="321">
        <f t="shared" si="0"/>
        <v>0.13750000000000001</v>
      </c>
      <c r="Q7" s="321">
        <v>108</v>
      </c>
      <c r="R7" s="321">
        <v>123</v>
      </c>
      <c r="S7" s="321">
        <f>AVERAGE(Q7:R7)</f>
        <v>115.5</v>
      </c>
      <c r="T7" s="321">
        <v>14</v>
      </c>
      <c r="U7" s="321">
        <v>18</v>
      </c>
      <c r="V7" s="321">
        <f t="shared" si="2"/>
        <v>16</v>
      </c>
      <c r="X7" s="294"/>
    </row>
    <row r="8" spans="1:24">
      <c r="A8" s="221" t="s">
        <v>388</v>
      </c>
      <c r="B8" s="321" t="s">
        <v>1046</v>
      </c>
      <c r="C8" s="321" t="s">
        <v>1046</v>
      </c>
      <c r="D8" s="321">
        <v>5</v>
      </c>
      <c r="E8" s="321" t="s">
        <v>1046</v>
      </c>
      <c r="F8" s="321" t="s">
        <v>1046</v>
      </c>
      <c r="G8" s="321">
        <v>5</v>
      </c>
      <c r="H8" s="321" t="s">
        <v>1046</v>
      </c>
      <c r="I8" s="321" t="s">
        <v>1046</v>
      </c>
      <c r="J8" s="321">
        <v>5</v>
      </c>
      <c r="K8" s="321" t="s">
        <v>1046</v>
      </c>
      <c r="L8" s="321" t="s">
        <v>1046</v>
      </c>
      <c r="M8" s="321">
        <v>5</v>
      </c>
      <c r="N8" s="321">
        <v>0.125</v>
      </c>
      <c r="O8" s="321">
        <v>0.15</v>
      </c>
      <c r="P8" s="321">
        <f t="shared" si="0"/>
        <v>0.13750000000000001</v>
      </c>
      <c r="Q8" s="321">
        <v>108</v>
      </c>
      <c r="R8" s="321">
        <v>123</v>
      </c>
      <c r="S8" s="321">
        <f t="shared" ref="S8:S12" si="3">AVERAGE(Q8:R8)</f>
        <v>115.5</v>
      </c>
      <c r="T8" s="321">
        <v>14</v>
      </c>
      <c r="U8" s="321">
        <v>18</v>
      </c>
      <c r="V8" s="321">
        <f t="shared" si="2"/>
        <v>16</v>
      </c>
      <c r="X8" s="294"/>
    </row>
    <row r="9" spans="1:24">
      <c r="A9" s="221" t="s">
        <v>846</v>
      </c>
      <c r="B9" s="321" t="s">
        <v>1046</v>
      </c>
      <c r="C9" s="321" t="s">
        <v>1046</v>
      </c>
      <c r="D9" s="321">
        <v>2</v>
      </c>
      <c r="E9" s="321">
        <v>2</v>
      </c>
      <c r="F9" s="321">
        <v>4</v>
      </c>
      <c r="G9" s="321">
        <v>3</v>
      </c>
      <c r="H9" s="321">
        <v>1</v>
      </c>
      <c r="I9" s="321">
        <v>3</v>
      </c>
      <c r="J9" s="321">
        <v>2</v>
      </c>
      <c r="K9" s="321">
        <v>3</v>
      </c>
      <c r="L9" s="321">
        <v>5</v>
      </c>
      <c r="M9" s="321">
        <v>4</v>
      </c>
      <c r="N9" s="321">
        <v>0.125</v>
      </c>
      <c r="O9" s="321">
        <v>0.15</v>
      </c>
      <c r="P9" s="321">
        <f t="shared" si="0"/>
        <v>0.13750000000000001</v>
      </c>
      <c r="Q9" s="321">
        <v>108</v>
      </c>
      <c r="R9" s="321">
        <v>123</v>
      </c>
      <c r="S9" s="321">
        <f t="shared" si="3"/>
        <v>115.5</v>
      </c>
      <c r="T9" s="321">
        <v>14</v>
      </c>
      <c r="U9" s="321">
        <v>18</v>
      </c>
      <c r="V9" s="321">
        <f t="shared" si="2"/>
        <v>16</v>
      </c>
      <c r="X9" s="294"/>
    </row>
    <row r="10" spans="1:24">
      <c r="A10" s="221" t="s">
        <v>847</v>
      </c>
      <c r="B10" s="321" t="s">
        <v>1046</v>
      </c>
      <c r="C10" s="321" t="s">
        <v>1046</v>
      </c>
      <c r="D10" s="321" t="s">
        <v>1046</v>
      </c>
      <c r="E10" s="321" t="s">
        <v>1046</v>
      </c>
      <c r="F10" s="321" t="s">
        <v>1046</v>
      </c>
      <c r="G10" s="321">
        <v>5</v>
      </c>
      <c r="H10" s="321" t="s">
        <v>1046</v>
      </c>
      <c r="I10" s="321" t="s">
        <v>1046</v>
      </c>
      <c r="J10" s="321" t="s">
        <v>1046</v>
      </c>
      <c r="K10" s="321" t="s">
        <v>1046</v>
      </c>
      <c r="L10" s="321" t="s">
        <v>1046</v>
      </c>
      <c r="M10" s="321">
        <v>5</v>
      </c>
      <c r="N10" s="321">
        <v>0.125</v>
      </c>
      <c r="O10" s="321">
        <v>0.15</v>
      </c>
      <c r="P10" s="321">
        <f t="shared" si="0"/>
        <v>0.13750000000000001</v>
      </c>
      <c r="Q10" s="321">
        <v>81</v>
      </c>
      <c r="R10" s="321">
        <v>92</v>
      </c>
      <c r="S10" s="321">
        <f t="shared" si="3"/>
        <v>86.5</v>
      </c>
      <c r="T10" s="321">
        <v>11</v>
      </c>
      <c r="U10" s="321">
        <v>14</v>
      </c>
      <c r="V10" s="321">
        <f t="shared" si="2"/>
        <v>12.5</v>
      </c>
      <c r="X10" s="294"/>
    </row>
    <row r="11" spans="1:24">
      <c r="A11" s="221" t="s">
        <v>848</v>
      </c>
      <c r="B11" s="321" t="s">
        <v>1046</v>
      </c>
      <c r="C11" s="321" t="s">
        <v>1046</v>
      </c>
      <c r="D11" s="321">
        <v>2</v>
      </c>
      <c r="E11" s="321">
        <v>8</v>
      </c>
      <c r="F11" s="321">
        <v>12</v>
      </c>
      <c r="G11" s="321">
        <v>10</v>
      </c>
      <c r="H11" s="321">
        <v>2</v>
      </c>
      <c r="I11" s="321">
        <v>4</v>
      </c>
      <c r="J11" s="321">
        <v>3</v>
      </c>
      <c r="K11" s="321">
        <v>10</v>
      </c>
      <c r="L11" s="321">
        <v>15</v>
      </c>
      <c r="M11" s="321">
        <v>12.5</v>
      </c>
      <c r="N11" s="321">
        <v>0.125</v>
      </c>
      <c r="O11" s="321">
        <v>0.15</v>
      </c>
      <c r="P11" s="321">
        <f t="shared" si="0"/>
        <v>0.13750000000000001</v>
      </c>
      <c r="Q11" s="321">
        <v>108</v>
      </c>
      <c r="R11" s="321">
        <v>123</v>
      </c>
      <c r="S11" s="321">
        <f t="shared" si="3"/>
        <v>115.5</v>
      </c>
      <c r="T11" s="321">
        <v>14</v>
      </c>
      <c r="U11" s="321">
        <v>18</v>
      </c>
      <c r="V11" s="321">
        <f t="shared" si="2"/>
        <v>16</v>
      </c>
      <c r="X11" s="294"/>
    </row>
    <row r="12" spans="1:24">
      <c r="A12" s="221" t="s">
        <v>849</v>
      </c>
      <c r="B12" s="321" t="s">
        <v>1046</v>
      </c>
      <c r="C12" s="321" t="s">
        <v>1046</v>
      </c>
      <c r="D12" s="321">
        <v>2</v>
      </c>
      <c r="E12" s="321">
        <v>8</v>
      </c>
      <c r="F12" s="322">
        <v>12</v>
      </c>
      <c r="G12" s="322">
        <v>10</v>
      </c>
      <c r="H12" s="321">
        <v>2</v>
      </c>
      <c r="I12" s="321">
        <v>4</v>
      </c>
      <c r="J12" s="321">
        <v>3</v>
      </c>
      <c r="K12" s="321">
        <v>10</v>
      </c>
      <c r="L12" s="321">
        <v>15</v>
      </c>
      <c r="M12" s="321">
        <v>12.5</v>
      </c>
      <c r="N12" s="321">
        <v>0.125</v>
      </c>
      <c r="O12" s="321">
        <v>0.15</v>
      </c>
      <c r="P12" s="321">
        <f t="shared" si="0"/>
        <v>0.13750000000000001</v>
      </c>
      <c r="Q12" s="321">
        <v>108</v>
      </c>
      <c r="R12" s="321">
        <v>123</v>
      </c>
      <c r="S12" s="321">
        <f t="shared" si="3"/>
        <v>115.5</v>
      </c>
      <c r="T12" s="321">
        <v>14</v>
      </c>
      <c r="U12" s="321">
        <v>18</v>
      </c>
      <c r="V12" s="321">
        <f t="shared" si="2"/>
        <v>16</v>
      </c>
    </row>
    <row r="14" spans="1:24">
      <c r="A14" s="183" t="s">
        <v>850</v>
      </c>
    </row>
    <row r="15" spans="1:24">
      <c r="A15" s="182" t="s">
        <v>171</v>
      </c>
      <c r="B15" s="182" t="s">
        <v>988</v>
      </c>
      <c r="C15" s="182" t="s">
        <v>989</v>
      </c>
      <c r="D15" s="182" t="s">
        <v>990</v>
      </c>
      <c r="E15" s="182" t="s">
        <v>851</v>
      </c>
      <c r="F15" s="182" t="s">
        <v>907</v>
      </c>
      <c r="G15" s="182" t="s">
        <v>207</v>
      </c>
      <c r="H15" s="182" t="s">
        <v>172</v>
      </c>
      <c r="I15" s="182" t="s">
        <v>18</v>
      </c>
      <c r="J15" s="182" t="s">
        <v>109</v>
      </c>
      <c r="K15" s="182" t="s">
        <v>173</v>
      </c>
      <c r="L15" s="182" t="s">
        <v>174</v>
      </c>
      <c r="M15" s="182" t="s">
        <v>982</v>
      </c>
      <c r="N15" s="182" t="s">
        <v>175</v>
      </c>
    </row>
    <row r="16" spans="1:24">
      <c r="A16" s="221" t="s">
        <v>181</v>
      </c>
      <c r="B16" s="322" t="s">
        <v>1046</v>
      </c>
      <c r="C16" s="322" t="s">
        <v>1046</v>
      </c>
      <c r="D16" s="322">
        <v>70</v>
      </c>
      <c r="E16" s="321"/>
      <c r="F16" s="318" t="s">
        <v>57</v>
      </c>
      <c r="G16" s="221" t="s">
        <v>852</v>
      </c>
      <c r="H16" s="211">
        <v>0.96</v>
      </c>
      <c r="I16" s="221" t="s">
        <v>20</v>
      </c>
      <c r="J16" s="221">
        <v>2018</v>
      </c>
      <c r="K16" s="358" t="s">
        <v>1105</v>
      </c>
      <c r="L16" s="7">
        <f>Spent2[[#This Row],[Spot Price ($)]]*VLOOKUP(OutMassUnit,UnitConv[],5,FALSE)/VLOOKUP(Spent2[[#This Row],[Unit]],UnitConv[],5,FALSE)</f>
        <v>0.96</v>
      </c>
      <c r="M16" s="7">
        <f>Spent2[[#This Row],[Price $ / Model Mass Unit]]/VLOOKUP(Spent2[[#This Row],[Year]],ChemPPI[],14,FALSE)*VLOOKUP(BasisYear,ChemPPI[],14,FALSE)</f>
        <v>0.89194378739390567</v>
      </c>
      <c r="N16" s="221" t="str">
        <f t="shared" ref="N16:N29" si="4">CurrencySymbol&amp;"/"&amp;OutMassUnit&amp;" ("&amp;BasisYear&amp;")"</f>
        <v>$/lb (2016)</v>
      </c>
      <c r="T16" s="223"/>
    </row>
    <row r="17" spans="1:14">
      <c r="A17" s="221" t="s">
        <v>177</v>
      </c>
      <c r="B17" s="322" t="s">
        <v>1046</v>
      </c>
      <c r="C17" s="322" t="s">
        <v>1046</v>
      </c>
      <c r="D17" s="322">
        <v>20</v>
      </c>
      <c r="E17" s="321"/>
      <c r="F17" s="318" t="s">
        <v>57</v>
      </c>
      <c r="H17" s="211">
        <v>29.6</v>
      </c>
      <c r="I17" s="221" t="s">
        <v>20</v>
      </c>
      <c r="J17" s="221">
        <v>2018</v>
      </c>
      <c r="K17" s="358" t="s">
        <v>1105</v>
      </c>
      <c r="L17" s="224">
        <f>Spent2[[#This Row],[Spot Price ($)]]*VLOOKUP(OutMassUnit,UnitConv[],5,FALSE)/VLOOKUP(Spent2[[#This Row],[Unit]],UnitConv[],5,FALSE)</f>
        <v>29.6</v>
      </c>
      <c r="M17" s="224">
        <f>Spent2[[#This Row],[Price $ / Model Mass Unit]]/VLOOKUP(Spent2[[#This Row],[Year]],ChemPPI[],14,FALSE)*VLOOKUP(BasisYear,ChemPPI[],14,FALSE)</f>
        <v>27.501600111312094</v>
      </c>
      <c r="N17" s="221" t="str">
        <f t="shared" si="4"/>
        <v>$/lb (2016)</v>
      </c>
    </row>
    <row r="18" spans="1:14">
      <c r="A18" s="221" t="s">
        <v>180</v>
      </c>
      <c r="B18" s="322">
        <v>15</v>
      </c>
      <c r="C18" s="322">
        <v>25</v>
      </c>
      <c r="D18" s="322">
        <v>20</v>
      </c>
      <c r="E18" s="321"/>
      <c r="F18" s="318" t="s">
        <v>57</v>
      </c>
      <c r="G18" s="221" t="s">
        <v>853</v>
      </c>
      <c r="H18" s="211">
        <v>2.75</v>
      </c>
      <c r="I18" s="221" t="s">
        <v>20</v>
      </c>
      <c r="J18" s="221">
        <v>2018</v>
      </c>
      <c r="K18" s="358" t="s">
        <v>1105</v>
      </c>
      <c r="L18" s="224">
        <f>Spent2[[#This Row],[Spot Price ($)]]*VLOOKUP(OutMassUnit,UnitConv[],5,FALSE)/VLOOKUP(Spent2[[#This Row],[Unit]],UnitConv[],5,FALSE)</f>
        <v>2.75</v>
      </c>
      <c r="M18" s="224">
        <f>Spent2[[#This Row],[Price $ / Model Mass Unit]]/VLOOKUP(Spent2[[#This Row],[Year]],ChemPPI[],14,FALSE)*VLOOKUP(BasisYear,ChemPPI[],14,FALSE)</f>
        <v>2.5550473076387923</v>
      </c>
      <c r="N18" s="221" t="str">
        <f t="shared" si="4"/>
        <v>$/lb (2016)</v>
      </c>
    </row>
    <row r="19" spans="1:14">
      <c r="A19" s="221" t="s">
        <v>190</v>
      </c>
      <c r="B19" s="322" t="s">
        <v>1046</v>
      </c>
      <c r="C19" s="322" t="s">
        <v>1046</v>
      </c>
      <c r="D19" s="322">
        <v>10</v>
      </c>
      <c r="E19" s="321">
        <v>11</v>
      </c>
      <c r="F19" s="318" t="s">
        <v>56</v>
      </c>
      <c r="H19" s="8">
        <v>1200.8</v>
      </c>
      <c r="I19" s="221" t="s">
        <v>62</v>
      </c>
      <c r="J19" s="221">
        <v>2018</v>
      </c>
      <c r="K19" s="221" t="s">
        <v>1105</v>
      </c>
      <c r="L19" s="224">
        <f>Spent2[[#This Row],[Spot Price ($)]]*VLOOKUP(OutMassUnit,UnitConv[],5,FALSE)/VLOOKUP(Spent2[[#This Row],[Unit]],UnitConv[],5,FALSE)</f>
        <v>17511.666666666668</v>
      </c>
      <c r="M19" s="224">
        <f>Spent2[[#This Row],[Price $ / Model Mass Unit]]/VLOOKUP(Spent2[[#This Row],[Year]],ChemPPI[],14,FALSE)*VLOOKUP(BasisYear,ChemPPI[],14,FALSE)</f>
        <v>16270.231552339874</v>
      </c>
      <c r="N19" s="221" t="str">
        <f t="shared" si="4"/>
        <v>$/lb (2016)</v>
      </c>
    </row>
    <row r="20" spans="1:14">
      <c r="A20" s="221" t="s">
        <v>187</v>
      </c>
      <c r="B20" s="322" t="s">
        <v>1046</v>
      </c>
      <c r="C20" s="322" t="s">
        <v>1046</v>
      </c>
      <c r="D20" s="322">
        <v>10</v>
      </c>
      <c r="E20" s="321">
        <v>25</v>
      </c>
      <c r="F20" s="318" t="s">
        <v>56</v>
      </c>
      <c r="H20" s="8">
        <v>1440</v>
      </c>
      <c r="I20" s="221" t="s">
        <v>62</v>
      </c>
      <c r="J20" s="358">
        <v>2018</v>
      </c>
      <c r="K20" s="358" t="s">
        <v>1105</v>
      </c>
      <c r="L20" s="224">
        <f>Spent2[[#This Row],[Spot Price ($)]]*VLOOKUP(OutMassUnit,UnitConv[],5,FALSE)/VLOOKUP(Spent2[[#This Row],[Unit]],UnitConv[],5,FALSE)</f>
        <v>21000.000000000004</v>
      </c>
      <c r="M20" s="224">
        <f>Spent2[[#This Row],[Price $ / Model Mass Unit]]/VLOOKUP(Spent2[[#This Row],[Year]],ChemPPI[],14,FALSE)*VLOOKUP(BasisYear,ChemPPI[],14,FALSE)</f>
        <v>19511.270349241691</v>
      </c>
      <c r="N20" s="221" t="str">
        <f t="shared" si="4"/>
        <v>$/lb (2016)</v>
      </c>
    </row>
    <row r="21" spans="1:14">
      <c r="A21" s="221" t="s">
        <v>176</v>
      </c>
      <c r="B21" s="322" t="s">
        <v>1046</v>
      </c>
      <c r="C21" s="322" t="s">
        <v>1046</v>
      </c>
      <c r="D21" s="322">
        <v>40</v>
      </c>
      <c r="E21" s="321"/>
      <c r="F21" s="318" t="s">
        <v>57</v>
      </c>
      <c r="H21" s="211">
        <v>95</v>
      </c>
      <c r="I21" s="221" t="s">
        <v>406</v>
      </c>
      <c r="J21" s="221">
        <v>2018</v>
      </c>
      <c r="K21" s="221" t="s">
        <v>1717</v>
      </c>
      <c r="L21" s="224">
        <f>Spent2[[#This Row],[Spot Price ($)]]*VLOOKUP(OutMassUnit,UnitConv[],5,FALSE)/VLOOKUP(Spent2[[#This Row],[Unit]],UnitConv[],5,FALSE)</f>
        <v>4.7500000000000001E-2</v>
      </c>
      <c r="M21" s="224">
        <f>Spent2[[#This Row],[Price $ / Model Mass Unit]]/VLOOKUP(Spent2[[#This Row],[Year]],ChemPPI[],14,FALSE)*VLOOKUP(BasisYear,ChemPPI[],14,FALSE)</f>
        <v>4.4132635313760958E-2</v>
      </c>
      <c r="N21" s="221" t="str">
        <f t="shared" si="4"/>
        <v>$/lb (2016)</v>
      </c>
    </row>
    <row r="22" spans="1:14">
      <c r="A22" s="221" t="s">
        <v>182</v>
      </c>
      <c r="B22" s="322">
        <v>20</v>
      </c>
      <c r="C22" s="322">
        <v>30</v>
      </c>
      <c r="D22" s="322">
        <v>25</v>
      </c>
      <c r="E22" s="321"/>
      <c r="F22" s="318" t="s">
        <v>57</v>
      </c>
      <c r="H22" s="211">
        <v>24000</v>
      </c>
      <c r="I22" s="221" t="s">
        <v>1123</v>
      </c>
      <c r="J22" s="221">
        <v>2018</v>
      </c>
      <c r="K22" s="221" t="s">
        <v>1106</v>
      </c>
      <c r="L22" s="224">
        <f>Spent2[[#This Row],[Spot Price ($)]]*VLOOKUP(OutMassUnit,UnitConv[],5,FALSE)/VLOOKUP(Spent2[[#This Row],[Unit]],UnitConv[],5,FALSE)</f>
        <v>10.886216879999999</v>
      </c>
      <c r="M22" s="224">
        <f>Spent2[[#This Row],[Price $ / Model Mass Unit]]/VLOOKUP(Spent2[[#This Row],[Year]],ChemPPI[],14,FALSE)*VLOOKUP(BasisYear,ChemPPI[],14,FALSE)</f>
        <v>10.114472410769443</v>
      </c>
      <c r="N22" s="221" t="str">
        <f t="shared" si="4"/>
        <v>$/lb (2016)</v>
      </c>
    </row>
    <row r="23" spans="1:14">
      <c r="A23" s="221" t="s">
        <v>179</v>
      </c>
      <c r="B23" s="322" t="s">
        <v>1046</v>
      </c>
      <c r="C23" s="322" t="s">
        <v>1046</v>
      </c>
      <c r="D23" s="322">
        <v>20</v>
      </c>
      <c r="E23" s="321"/>
      <c r="F23" s="318" t="s">
        <v>57</v>
      </c>
      <c r="H23" s="211">
        <v>6.08</v>
      </c>
      <c r="I23" s="221" t="s">
        <v>20</v>
      </c>
      <c r="J23" s="358">
        <v>2018</v>
      </c>
      <c r="K23" s="358" t="s">
        <v>1105</v>
      </c>
      <c r="L23" s="224">
        <f>Spent2[[#This Row],[Spot Price ($)]]*VLOOKUP(OutMassUnit,UnitConv[],5,FALSE)/VLOOKUP(Spent2[[#This Row],[Unit]],UnitConv[],5,FALSE)</f>
        <v>6.08</v>
      </c>
      <c r="M23" s="224">
        <f>Spent2[[#This Row],[Price $ / Model Mass Unit]]/VLOOKUP(Spent2[[#This Row],[Year]],ChemPPI[],14,FALSE)*VLOOKUP(BasisYear,ChemPPI[],14,FALSE)</f>
        <v>5.6489773201614026</v>
      </c>
      <c r="N23" s="221" t="str">
        <f t="shared" si="4"/>
        <v>$/lb (2016)</v>
      </c>
    </row>
    <row r="24" spans="1:14">
      <c r="A24" s="221" t="s">
        <v>185</v>
      </c>
      <c r="B24" s="322">
        <v>1</v>
      </c>
      <c r="C24" s="322">
        <v>4</v>
      </c>
      <c r="D24" s="323">
        <v>2.5</v>
      </c>
      <c r="E24" s="321">
        <v>12.5</v>
      </c>
      <c r="F24" s="318" t="s">
        <v>56</v>
      </c>
      <c r="H24" s="211">
        <v>975</v>
      </c>
      <c r="I24" s="221" t="s">
        <v>62</v>
      </c>
      <c r="J24" s="358">
        <v>2018</v>
      </c>
      <c r="K24" s="358" t="s">
        <v>1105</v>
      </c>
      <c r="L24" s="224">
        <f>Spent2[[#This Row],[Spot Price ($)]]*VLOOKUP(OutMassUnit,UnitConv[],5,FALSE)/VLOOKUP(Spent2[[#This Row],[Unit]],UnitConv[],5,FALSE)</f>
        <v>14218.750000000002</v>
      </c>
      <c r="M24" s="224">
        <f>Spent2[[#This Row],[Price $ / Model Mass Unit]]/VLOOKUP(Spent2[[#This Row],[Year]],ChemPPI[],14,FALSE)*VLOOKUP(BasisYear,ChemPPI[],14,FALSE)</f>
        <v>13210.755965632394</v>
      </c>
      <c r="N24" s="221" t="str">
        <f t="shared" si="4"/>
        <v>$/lb (2016)</v>
      </c>
    </row>
    <row r="25" spans="1:14">
      <c r="A25" s="221" t="s">
        <v>188</v>
      </c>
      <c r="B25" s="322">
        <v>1</v>
      </c>
      <c r="C25" s="322">
        <v>3</v>
      </c>
      <c r="D25" s="322">
        <v>2</v>
      </c>
      <c r="E25" s="321">
        <v>14.5</v>
      </c>
      <c r="F25" s="318" t="s">
        <v>56</v>
      </c>
      <c r="H25" s="211">
        <v>793.5</v>
      </c>
      <c r="I25" s="221" t="s">
        <v>62</v>
      </c>
      <c r="J25" s="358">
        <v>2018</v>
      </c>
      <c r="K25" s="358" t="s">
        <v>1105</v>
      </c>
      <c r="L25" s="224">
        <f>Spent2[[#This Row],[Spot Price ($)]]*VLOOKUP(OutMassUnit,UnitConv[],5,FALSE)/VLOOKUP(Spent2[[#This Row],[Unit]],UnitConv[],5,FALSE)</f>
        <v>11571.875000000002</v>
      </c>
      <c r="M25" s="224">
        <f>Spent2[[#This Row],[Price $ / Model Mass Unit]]/VLOOKUP(Spent2[[#This Row],[Year]],ChemPPI[],14,FALSE)*VLOOKUP(BasisYear,ChemPPI[],14,FALSE)</f>
        <v>10751.522932030057</v>
      </c>
      <c r="N25" s="221" t="str">
        <f t="shared" si="4"/>
        <v>$/lb (2016)</v>
      </c>
    </row>
    <row r="26" spans="1:14">
      <c r="A26" s="221" t="s">
        <v>184</v>
      </c>
      <c r="B26" s="322">
        <v>5</v>
      </c>
      <c r="C26" s="322">
        <v>10</v>
      </c>
      <c r="D26" s="323">
        <v>7.5</v>
      </c>
      <c r="E26" s="321">
        <v>16</v>
      </c>
      <c r="F26" s="318" t="s">
        <v>56</v>
      </c>
      <c r="G26" s="223"/>
      <c r="H26" s="211">
        <v>2390</v>
      </c>
      <c r="I26" s="223" t="s">
        <v>62</v>
      </c>
      <c r="J26" s="358">
        <v>2018</v>
      </c>
      <c r="K26" s="358" t="s">
        <v>1105</v>
      </c>
      <c r="L26" s="224">
        <f>Spent2[[#This Row],[Spot Price ($)]]*VLOOKUP(OutMassUnit,UnitConv[],5,FALSE)/VLOOKUP(Spent2[[#This Row],[Unit]],UnitConv[],5,FALSE)</f>
        <v>34854.166666666672</v>
      </c>
      <c r="M26" s="224">
        <f>Spent2[[#This Row],[Price $ / Model Mass Unit]]/VLOOKUP(Spent2[[#This Row],[Year]],ChemPPI[],14,FALSE)*VLOOKUP(BasisYear,ChemPPI[],14,FALSE)</f>
        <v>32383.288982421971</v>
      </c>
      <c r="N26" s="221" t="str">
        <f t="shared" si="4"/>
        <v>$/lb (2016)</v>
      </c>
    </row>
    <row r="27" spans="1:14">
      <c r="A27" s="221" t="s">
        <v>183</v>
      </c>
      <c r="B27" s="324">
        <v>15</v>
      </c>
      <c r="C27" s="324">
        <v>25</v>
      </c>
      <c r="D27" s="324">
        <v>20</v>
      </c>
      <c r="E27" s="325">
        <v>20</v>
      </c>
      <c r="F27" s="318" t="s">
        <v>56</v>
      </c>
      <c r="G27" s="223"/>
      <c r="H27" s="211">
        <v>260</v>
      </c>
      <c r="I27" s="223" t="s">
        <v>62</v>
      </c>
      <c r="J27" s="358">
        <v>2018</v>
      </c>
      <c r="K27" s="358" t="s">
        <v>1105</v>
      </c>
      <c r="L27" s="224">
        <f>Spent2[[#This Row],[Spot Price ($)]]*VLOOKUP(OutMassUnit,UnitConv[],5,FALSE)/VLOOKUP(Spent2[[#This Row],[Unit]],UnitConv[],5,FALSE)</f>
        <v>3791.666666666667</v>
      </c>
      <c r="M27" s="224">
        <f>Spent2[[#This Row],[Price $ / Model Mass Unit]]/VLOOKUP(Spent2[[#This Row],[Year]],ChemPPI[],14,FALSE)*VLOOKUP(BasisYear,ChemPPI[],14,FALSE)</f>
        <v>3522.8682575019716</v>
      </c>
      <c r="N27" s="221" t="str">
        <f t="shared" si="4"/>
        <v>$/lb (2016)</v>
      </c>
    </row>
    <row r="28" spans="1:14">
      <c r="A28" s="221" t="s">
        <v>189</v>
      </c>
      <c r="B28" s="326">
        <v>2</v>
      </c>
      <c r="C28" s="326">
        <v>3</v>
      </c>
      <c r="D28" s="326">
        <v>2.5</v>
      </c>
      <c r="E28" s="325">
        <v>11.5</v>
      </c>
      <c r="F28" s="318" t="s">
        <v>56</v>
      </c>
      <c r="G28" s="223"/>
      <c r="H28" s="211">
        <v>14.58</v>
      </c>
      <c r="I28" s="223" t="s">
        <v>62</v>
      </c>
      <c r="J28" s="358">
        <v>2018</v>
      </c>
      <c r="K28" s="358" t="s">
        <v>1105</v>
      </c>
      <c r="L28" s="224">
        <f>Spent2[[#This Row],[Spot Price ($)]]*VLOOKUP(OutMassUnit,UnitConv[],5,FALSE)/VLOOKUP(Spent2[[#This Row],[Unit]],UnitConv[],5,FALSE)</f>
        <v>212.625</v>
      </c>
      <c r="M28" s="224">
        <f>Spent2[[#This Row],[Price $ / Model Mass Unit]]/VLOOKUP(Spent2[[#This Row],[Year]],ChemPPI[],14,FALSE)*VLOOKUP(BasisYear,ChemPPI[],14,FALSE)</f>
        <v>197.55161228607207</v>
      </c>
      <c r="N28" s="221" t="str">
        <f t="shared" si="4"/>
        <v>$/lb (2016)</v>
      </c>
    </row>
    <row r="29" spans="1:14">
      <c r="A29" s="221" t="s">
        <v>186</v>
      </c>
      <c r="B29" s="322">
        <v>15</v>
      </c>
      <c r="C29" s="322">
        <v>25</v>
      </c>
      <c r="D29" s="322">
        <v>20</v>
      </c>
      <c r="E29" s="321"/>
      <c r="F29" s="318" t="s">
        <v>57</v>
      </c>
      <c r="G29" s="223" t="s">
        <v>854</v>
      </c>
      <c r="H29" s="8">
        <v>24.04</v>
      </c>
      <c r="I29" s="223" t="s">
        <v>71</v>
      </c>
      <c r="J29" s="221">
        <v>2016</v>
      </c>
      <c r="K29" s="223" t="s">
        <v>178</v>
      </c>
      <c r="L29" s="224">
        <f>Spent2[[#This Row],[Spot Price ($)]]*VLOOKUP(OutMassUnit,UnitConv[],5,FALSE)/VLOOKUP(Spent2[[#This Row],[Unit]],UnitConv[],5,FALSE)</f>
        <v>10.9043605748</v>
      </c>
      <c r="M29" s="224">
        <f>Spent2[[#This Row],[Price $ / Model Mass Unit]]/VLOOKUP(Spent2[[#This Row],[Year]],ChemPPI[],14,FALSE)*VLOOKUP(BasisYear,ChemPPI[],14,FALSE)</f>
        <v>10.9043605748</v>
      </c>
      <c r="N29" s="221" t="str">
        <f t="shared" si="4"/>
        <v>$/lb (2016)</v>
      </c>
    </row>
    <row r="31" spans="1:14">
      <c r="A31" s="183" t="s">
        <v>855</v>
      </c>
    </row>
    <row r="32" spans="1:14">
      <c r="A32" s="182" t="s">
        <v>856</v>
      </c>
      <c r="B32" s="182" t="s">
        <v>857</v>
      </c>
      <c r="C32" s="182" t="s">
        <v>858</v>
      </c>
      <c r="D32" s="182" t="s">
        <v>859</v>
      </c>
      <c r="E32" s="182" t="s">
        <v>860</v>
      </c>
      <c r="F32" s="182" t="s">
        <v>861</v>
      </c>
      <c r="G32" s="182" t="s">
        <v>862</v>
      </c>
      <c r="H32" s="182" t="s">
        <v>207</v>
      </c>
    </row>
    <row r="33" spans="1:12">
      <c r="A33" s="221" t="s">
        <v>863</v>
      </c>
      <c r="B33" s="221">
        <v>0.15</v>
      </c>
      <c r="C33" s="221">
        <v>0.2</v>
      </c>
      <c r="D33" s="221">
        <f>AVERAGE(B33:C33)</f>
        <v>0.17499999999999999</v>
      </c>
      <c r="G33" s="221">
        <v>0.05</v>
      </c>
      <c r="H33" s="221" t="s">
        <v>864</v>
      </c>
    </row>
    <row r="34" spans="1:12">
      <c r="A34" s="221" t="s">
        <v>865</v>
      </c>
      <c r="D34" s="221">
        <v>0.75</v>
      </c>
    </row>
    <row r="35" spans="1:12">
      <c r="A35" s="221" t="s">
        <v>866</v>
      </c>
      <c r="B35" s="221">
        <v>1</v>
      </c>
      <c r="C35" s="221">
        <v>3</v>
      </c>
      <c r="D35" s="221">
        <f>AVERAGE(B35:C35)</f>
        <v>2</v>
      </c>
      <c r="E35" s="221">
        <v>1</v>
      </c>
      <c r="F35" s="221">
        <v>1.3</v>
      </c>
      <c r="G35" s="221">
        <f>AVERAGE(E35:F35)</f>
        <v>1.1499999999999999</v>
      </c>
      <c r="H35" s="221" t="s">
        <v>867</v>
      </c>
    </row>
    <row r="36" spans="1:12">
      <c r="A36" s="221" t="s">
        <v>868</v>
      </c>
      <c r="B36" s="221">
        <v>1</v>
      </c>
      <c r="C36" s="221">
        <v>3</v>
      </c>
      <c r="D36" s="221">
        <f>AVERAGE(B36:C36)</f>
        <v>2</v>
      </c>
    </row>
    <row r="38" spans="1:12">
      <c r="A38" s="183" t="s">
        <v>869</v>
      </c>
    </row>
    <row r="39" spans="1:12">
      <c r="A39" s="182" t="s">
        <v>870</v>
      </c>
      <c r="B39" s="182" t="s">
        <v>871</v>
      </c>
      <c r="C39" s="182" t="s">
        <v>899</v>
      </c>
      <c r="D39" s="182" t="s">
        <v>207</v>
      </c>
      <c r="F39" s="222"/>
      <c r="G39" s="222"/>
      <c r="H39" s="222"/>
      <c r="I39" s="222"/>
      <c r="J39" s="222"/>
      <c r="K39" s="222"/>
      <c r="L39" s="222"/>
    </row>
    <row r="40" spans="1:12">
      <c r="A40" s="221" t="s">
        <v>873</v>
      </c>
      <c r="B40" s="221">
        <v>46</v>
      </c>
      <c r="C40" s="8">
        <f>Spent4[[#This Row],[ρ (lb/ft3)]]*0.45359237/28.31684659*1000</f>
        <v>736.84931525420961</v>
      </c>
      <c r="D40" s="221" t="s">
        <v>891</v>
      </c>
      <c r="F40" s="222"/>
      <c r="G40" s="222"/>
      <c r="H40" s="222"/>
      <c r="I40" s="222"/>
      <c r="J40" s="222"/>
      <c r="K40" s="222"/>
      <c r="L40" s="222"/>
    </row>
    <row r="41" spans="1:12">
      <c r="A41" s="221" t="s">
        <v>872</v>
      </c>
      <c r="B41" s="221">
        <v>42</v>
      </c>
      <c r="C41" s="8">
        <f>Spent4[[#This Row],[ρ (lb/ft3)]]*0.45359237/28.31684659*1000</f>
        <v>672.7754617538435</v>
      </c>
      <c r="D41" s="221" t="s">
        <v>891</v>
      </c>
      <c r="F41" s="222"/>
      <c r="G41" s="222"/>
      <c r="H41" s="222"/>
      <c r="I41" s="222"/>
      <c r="J41" s="222"/>
      <c r="K41" s="222"/>
      <c r="L41" s="222"/>
    </row>
    <row r="42" spans="1:12">
      <c r="A42" s="221" t="s">
        <v>878</v>
      </c>
      <c r="B42" s="221">
        <v>50</v>
      </c>
      <c r="C42" s="8">
        <f>Spent4[[#This Row],[ρ (lb/ft3)]]*0.45359237/28.31684659*1000</f>
        <v>800.92316875457561</v>
      </c>
      <c r="D42" s="221" t="s">
        <v>875</v>
      </c>
      <c r="F42" s="222"/>
      <c r="G42" s="222"/>
      <c r="H42" s="222"/>
      <c r="I42" s="222"/>
      <c r="J42" s="222"/>
      <c r="K42" s="222"/>
      <c r="L42" s="222"/>
    </row>
    <row r="43" spans="1:12">
      <c r="A43" s="221" t="s">
        <v>874</v>
      </c>
      <c r="B43" s="221">
        <v>45</v>
      </c>
      <c r="C43" s="8">
        <f>Spent4[[#This Row],[ρ (lb/ft3)]]*0.45359237/28.31684659*1000</f>
        <v>720.83085187911809</v>
      </c>
      <c r="D43" s="221" t="s">
        <v>875</v>
      </c>
      <c r="F43" s="222"/>
      <c r="G43" s="222"/>
      <c r="H43" s="222"/>
      <c r="I43" s="222"/>
      <c r="J43" s="222"/>
      <c r="K43" s="222"/>
      <c r="L43" s="222"/>
    </row>
    <row r="44" spans="1:12">
      <c r="A44" s="221" t="s">
        <v>876</v>
      </c>
      <c r="B44" s="221">
        <v>65</v>
      </c>
      <c r="C44" s="8">
        <f>Spent4[[#This Row],[ρ (lb/ft3)]]*0.45359237/28.31684659*1000</f>
        <v>1041.2001193809483</v>
      </c>
      <c r="D44" s="221" t="s">
        <v>875</v>
      </c>
      <c r="F44" s="222"/>
      <c r="G44" s="222"/>
      <c r="H44" s="222"/>
      <c r="I44" s="222"/>
      <c r="J44" s="222"/>
      <c r="K44" s="222"/>
      <c r="L44" s="222"/>
    </row>
    <row r="45" spans="1:12">
      <c r="A45" s="221" t="s">
        <v>877</v>
      </c>
      <c r="B45" s="221">
        <v>66</v>
      </c>
      <c r="C45" s="8">
        <f>Spent4[[#This Row],[ρ (lb/ft3)]]*0.45359237/28.31684659*1000</f>
        <v>1057.21858275604</v>
      </c>
      <c r="D45" s="221" t="s">
        <v>875</v>
      </c>
      <c r="F45" s="222"/>
      <c r="G45" s="222"/>
      <c r="H45" s="222"/>
      <c r="I45" s="222"/>
      <c r="J45" s="222"/>
      <c r="K45" s="222"/>
      <c r="L45" s="222"/>
    </row>
    <row r="46" spans="1:12">
      <c r="A46" s="221" t="s">
        <v>879</v>
      </c>
      <c r="B46" s="221">
        <v>30</v>
      </c>
      <c r="C46" s="8">
        <f>Spent4[[#This Row],[ρ (lb/ft3)]]*0.45359237/28.31684659*1000</f>
        <v>480.55390125274539</v>
      </c>
      <c r="D46" s="221" t="s">
        <v>880</v>
      </c>
      <c r="F46" s="222"/>
      <c r="G46" s="222"/>
      <c r="H46" s="222"/>
      <c r="I46" s="222"/>
      <c r="J46" s="222"/>
      <c r="K46" s="222"/>
      <c r="L46" s="222"/>
    </row>
    <row r="47" spans="1:12">
      <c r="A47" s="221" t="s">
        <v>902</v>
      </c>
      <c r="B47" s="221">
        <v>39</v>
      </c>
      <c r="C47" s="8">
        <f>Spent4[[#This Row],[ρ (lb/ft3)]]*0.45359237/28.31684659*1000</f>
        <v>624.72007162856903</v>
      </c>
      <c r="D47" s="221" t="s">
        <v>901</v>
      </c>
      <c r="F47" s="222"/>
      <c r="G47" s="222"/>
      <c r="H47" s="222"/>
      <c r="I47" s="222"/>
      <c r="J47" s="222"/>
      <c r="K47" s="222"/>
      <c r="L47" s="222"/>
    </row>
    <row r="48" spans="1:12">
      <c r="A48" s="221" t="s">
        <v>903</v>
      </c>
      <c r="B48" s="221">
        <v>22</v>
      </c>
      <c r="C48" s="8">
        <f>Spent4[[#This Row],[ρ (lb/ft3)]]*0.45359237/28.31684659*1000</f>
        <v>352.40619425201328</v>
      </c>
      <c r="D48" s="221" t="s">
        <v>901</v>
      </c>
      <c r="F48" s="222"/>
      <c r="G48" s="222"/>
      <c r="H48" s="222"/>
      <c r="I48" s="222"/>
      <c r="J48" s="222"/>
      <c r="K48" s="222"/>
      <c r="L48" s="222"/>
    </row>
    <row r="49" spans="1:12">
      <c r="A49" s="221" t="s">
        <v>881</v>
      </c>
      <c r="B49" s="221">
        <v>71.25</v>
      </c>
      <c r="C49" s="8">
        <f>Spent4[[#This Row],[ρ (lb/ft3)]]*0.45359237/28.31684659*1000</f>
        <v>1141.3155154752703</v>
      </c>
      <c r="D49" s="221" t="s">
        <v>892</v>
      </c>
      <c r="F49" s="222"/>
      <c r="G49" s="222"/>
      <c r="H49" s="222"/>
      <c r="I49" s="222"/>
      <c r="J49" s="222"/>
      <c r="K49" s="222"/>
      <c r="L49" s="222"/>
    </row>
    <row r="50" spans="1:12">
      <c r="A50" s="221" t="s">
        <v>904</v>
      </c>
      <c r="B50" s="221">
        <v>55</v>
      </c>
      <c r="C50" s="8">
        <f>Spent4[[#This Row],[ρ (lb/ft3)]]*0.45359237/28.31684659*1000</f>
        <v>881.01548563003325</v>
      </c>
      <c r="D50" s="221" t="s">
        <v>905</v>
      </c>
      <c r="F50" s="222"/>
      <c r="G50" s="222"/>
      <c r="H50" s="222"/>
      <c r="I50" s="222"/>
      <c r="J50" s="222"/>
      <c r="K50" s="222"/>
      <c r="L50" s="222"/>
    </row>
    <row r="51" spans="1:12">
      <c r="F51" s="222"/>
      <c r="G51" s="222"/>
      <c r="H51" s="222"/>
      <c r="I51" s="222"/>
      <c r="J51" s="222"/>
      <c r="K51" s="222"/>
      <c r="L51" s="222"/>
    </row>
    <row r="52" spans="1:12">
      <c r="A52" s="183" t="s">
        <v>992</v>
      </c>
      <c r="F52" s="222"/>
      <c r="G52" s="222"/>
      <c r="H52" s="222"/>
      <c r="I52" s="222"/>
      <c r="J52" s="222"/>
      <c r="K52" s="222"/>
      <c r="L52" s="222"/>
    </row>
    <row r="53" spans="1:12">
      <c r="A53" s="182" t="s">
        <v>171</v>
      </c>
      <c r="B53" s="182" t="s">
        <v>882</v>
      </c>
      <c r="C53" s="182" t="s">
        <v>984</v>
      </c>
      <c r="F53" s="222"/>
      <c r="G53" s="222"/>
      <c r="H53" s="222"/>
      <c r="I53" s="222"/>
    </row>
    <row r="54" spans="1:12">
      <c r="A54" s="221" t="s">
        <v>883</v>
      </c>
      <c r="B54" s="221">
        <v>5</v>
      </c>
      <c r="C54" s="221">
        <v>0.01</v>
      </c>
      <c r="F54" s="222"/>
      <c r="G54" s="222"/>
      <c r="H54" s="222"/>
      <c r="I54" s="222"/>
    </row>
    <row r="55" spans="1:12">
      <c r="A55" s="221" t="s">
        <v>884</v>
      </c>
      <c r="B55" s="221">
        <v>100</v>
      </c>
      <c r="C55" s="221">
        <v>0.2</v>
      </c>
      <c r="F55" s="222"/>
      <c r="G55" s="222"/>
      <c r="H55" s="222"/>
      <c r="I55" s="222"/>
    </row>
    <row r="56" spans="1:12">
      <c r="A56" s="221" t="s">
        <v>885</v>
      </c>
      <c r="B56" s="221">
        <v>1</v>
      </c>
      <c r="C56" s="221">
        <v>2E-3</v>
      </c>
      <c r="F56" s="222"/>
      <c r="G56" s="222"/>
      <c r="H56" s="222"/>
      <c r="I56" s="222"/>
    </row>
    <row r="57" spans="1:12">
      <c r="A57" s="221" t="s">
        <v>886</v>
      </c>
      <c r="B57" s="221">
        <v>5</v>
      </c>
      <c r="C57" s="221">
        <v>0.01</v>
      </c>
      <c r="F57" s="222"/>
      <c r="G57" s="222"/>
      <c r="H57" s="222"/>
      <c r="I57" s="222"/>
    </row>
    <row r="58" spans="1:12">
      <c r="A58" s="221" t="s">
        <v>887</v>
      </c>
      <c r="B58" s="221">
        <v>5</v>
      </c>
      <c r="C58" s="221">
        <v>0.01</v>
      </c>
      <c r="F58" s="222"/>
      <c r="G58" s="222"/>
      <c r="H58" s="222"/>
      <c r="I58" s="222"/>
    </row>
    <row r="59" spans="1:12">
      <c r="A59" s="221" t="s">
        <v>888</v>
      </c>
      <c r="B59" s="221">
        <v>0.2</v>
      </c>
      <c r="C59" s="221">
        <v>3.9999999999999996E-4</v>
      </c>
    </row>
    <row r="60" spans="1:12">
      <c r="A60" s="221" t="s">
        <v>889</v>
      </c>
      <c r="B60" s="221">
        <v>1</v>
      </c>
      <c r="C60" s="221">
        <v>2E-3</v>
      </c>
    </row>
    <row r="61" spans="1:12">
      <c r="A61" s="221" t="s">
        <v>890</v>
      </c>
      <c r="B61" s="221">
        <v>5</v>
      </c>
      <c r="C61" s="221">
        <v>0.01</v>
      </c>
    </row>
  </sheetData>
  <pageMargins left="0.7" right="0.7" top="0.75" bottom="0.75" header="0.3" footer="0.3"/>
  <pageSetup orientation="portrait" horizontalDpi="0" verticalDpi="0"/>
  <ignoredErrors>
    <ignoredError sqref="P5:P12" formulaRange="1"/>
  </ignoredErrors>
  <legacyDrawing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
  <sheetViews>
    <sheetView workbookViewId="0">
      <selection activeCell="H9" sqref="H9"/>
    </sheetView>
  </sheetViews>
  <sheetFormatPr baseColWidth="10" defaultColWidth="11" defaultRowHeight="16"/>
  <cols>
    <col min="2" max="2" width="16.6640625" bestFit="1" customWidth="1"/>
    <col min="3" max="3" width="12" customWidth="1"/>
    <col min="4" max="4" width="20.6640625" customWidth="1"/>
    <col min="5" max="5" width="11.33203125" customWidth="1"/>
    <col min="6" max="6" width="16.1640625" customWidth="1"/>
    <col min="8" max="8" width="14" bestFit="1" customWidth="1"/>
    <col min="9" max="9" width="12.33203125" bestFit="1" customWidth="1"/>
  </cols>
  <sheetData>
    <row r="1" spans="1:9">
      <c r="A1" t="s">
        <v>47</v>
      </c>
    </row>
    <row r="3" spans="1:9" ht="17" thickBot="1">
      <c r="A3" s="257" t="s">
        <v>18</v>
      </c>
      <c r="B3" s="258" t="s">
        <v>48</v>
      </c>
      <c r="C3" s="258" t="s">
        <v>49</v>
      </c>
      <c r="D3" s="258" t="s">
        <v>50</v>
      </c>
      <c r="E3" s="258" t="s">
        <v>51</v>
      </c>
      <c r="F3" s="258" t="s">
        <v>52</v>
      </c>
      <c r="G3" s="258" t="s">
        <v>53</v>
      </c>
      <c r="H3" s="258" t="s">
        <v>164</v>
      </c>
      <c r="I3" s="297" t="s">
        <v>165</v>
      </c>
    </row>
    <row r="4" spans="1:9" ht="17" thickTop="1">
      <c r="A4" s="298" t="s">
        <v>20</v>
      </c>
      <c r="B4" s="299" t="s">
        <v>54</v>
      </c>
      <c r="C4" s="299" t="s">
        <v>55</v>
      </c>
      <c r="D4" s="299" t="s">
        <v>56</v>
      </c>
      <c r="E4" s="299">
        <f>0.45359237</f>
        <v>0.45359237000000002</v>
      </c>
      <c r="F4" s="299" t="str">
        <f>IF(UnitConv[[#This Row],[Unit of mass/weight]]="Yes","No",IF(UnitConv[[#This Row],[Unit of mass/weight]]="No","Yes","Error"))</f>
        <v>No</v>
      </c>
      <c r="G4" s="299" t="s">
        <v>58</v>
      </c>
      <c r="H4" s="299" t="str">
        <f>IF(UnitConv[[#This Row],[Unit of mass/weight]]="Yes",UnitConv[[#This Row],[Unit]],"")</f>
        <v>lb</v>
      </c>
      <c r="I4" s="299" t="str">
        <f>IF(UnitConv[[#This Row],[Unit of volume]]="Yes",UnitConv[[#This Row],[Unit]],"")</f>
        <v/>
      </c>
    </row>
    <row r="5" spans="1:9">
      <c r="A5" s="300" t="s">
        <v>59</v>
      </c>
      <c r="B5" s="301" t="s">
        <v>60</v>
      </c>
      <c r="C5" s="301" t="s">
        <v>61</v>
      </c>
      <c r="D5" s="301" t="s">
        <v>56</v>
      </c>
      <c r="E5" s="301">
        <f>0.45359237/16</f>
        <v>2.8349523125000001E-2</v>
      </c>
      <c r="F5" s="301" t="str">
        <f>IF(UnitConv[[#This Row],[Unit of mass/weight]]="Yes","No",IF(UnitConv[[#This Row],[Unit of mass/weight]]="No","Yes","Error"))</f>
        <v>No</v>
      </c>
      <c r="G5" s="301" t="s">
        <v>58</v>
      </c>
      <c r="H5" s="301" t="str">
        <f>IF(UnitConv[[#This Row],[Unit of mass/weight]]="Yes",UnitConv[[#This Row],[Unit]],"")</f>
        <v>oz</v>
      </c>
      <c r="I5" s="301" t="str">
        <f>IF(UnitConv[[#This Row],[Unit of volume]]="Yes",UnitConv[[#This Row],[Unit]],"")</f>
        <v/>
      </c>
    </row>
    <row r="6" spans="1:9">
      <c r="A6" s="300" t="s">
        <v>62</v>
      </c>
      <c r="B6" s="301" t="s">
        <v>63</v>
      </c>
      <c r="C6" s="301" t="s">
        <v>64</v>
      </c>
      <c r="D6" s="301" t="s">
        <v>56</v>
      </c>
      <c r="E6" s="301">
        <f>31.1034768/1000</f>
        <v>3.1103476799999998E-2</v>
      </c>
      <c r="F6" s="301" t="str">
        <f>IF(UnitConv[[#This Row],[Unit of mass/weight]]="Yes","No",IF(UnitConv[[#This Row],[Unit of mass/weight]]="No","Yes","Error"))</f>
        <v>No</v>
      </c>
      <c r="G6" s="301"/>
      <c r="H6" s="301" t="str">
        <f>IF(UnitConv[[#This Row],[Unit of mass/weight]]="Yes",UnitConv[[#This Row],[Unit]],"")</f>
        <v>oz t</v>
      </c>
      <c r="I6" s="301" t="str">
        <f>IF(UnitConv[[#This Row],[Unit of volume]]="Yes",UnitConv[[#This Row],[Unit]],"")</f>
        <v/>
      </c>
    </row>
    <row r="7" spans="1:9">
      <c r="A7" s="300" t="s">
        <v>406</v>
      </c>
      <c r="B7" s="301" t="s">
        <v>65</v>
      </c>
      <c r="C7" s="301" t="s">
        <v>66</v>
      </c>
      <c r="D7" s="301" t="s">
        <v>56</v>
      </c>
      <c r="E7" s="301">
        <f>0.45359237*2000</f>
        <v>907.18474000000003</v>
      </c>
      <c r="F7" s="301" t="str">
        <f>IF(UnitConv[[#This Row],[Unit of mass/weight]]="Yes","No",IF(UnitConv[[#This Row],[Unit of mass/weight]]="No","Yes","Error"))</f>
        <v>No</v>
      </c>
      <c r="G7" s="301" t="s">
        <v>58</v>
      </c>
      <c r="H7" s="301" t="str">
        <f>IF(UnitConv[[#This Row],[Unit of mass/weight]]="Yes",UnitConv[[#This Row],[Unit]],"")</f>
        <v>ton</v>
      </c>
      <c r="I7" s="301" t="str">
        <f>IF(UnitConv[[#This Row],[Unit of volume]]="Yes",UnitConv[[#This Row],[Unit]],"")</f>
        <v/>
      </c>
    </row>
    <row r="8" spans="1:9">
      <c r="A8" s="300" t="s">
        <v>1122</v>
      </c>
      <c r="B8" s="301" t="s">
        <v>67</v>
      </c>
      <c r="C8" s="301" t="s">
        <v>68</v>
      </c>
      <c r="D8" s="301" t="s">
        <v>56</v>
      </c>
      <c r="E8" s="301">
        <f>0.45359237*2240</f>
        <v>1016.0469088000001</v>
      </c>
      <c r="F8" s="301" t="str">
        <f>IF(UnitConv[[#This Row],[Unit of mass/weight]]="Yes","No",IF(UnitConv[[#This Row],[Unit of mass/weight]]="No","Yes","Error"))</f>
        <v>No</v>
      </c>
      <c r="G8" s="301" t="s">
        <v>58</v>
      </c>
      <c r="H8" s="301" t="str">
        <f>IF(UnitConv[[#This Row],[Unit of mass/weight]]="Yes",UnitConv[[#This Row],[Unit]],"")</f>
        <v>long ton</v>
      </c>
      <c r="I8" s="301" t="str">
        <f>IF(UnitConv[[#This Row],[Unit of volume]]="Yes",UnitConv[[#This Row],[Unit]],"")</f>
        <v/>
      </c>
    </row>
    <row r="9" spans="1:9">
      <c r="A9" s="300" t="s">
        <v>1123</v>
      </c>
      <c r="B9" s="301" t="s">
        <v>69</v>
      </c>
      <c r="C9" s="301" t="s">
        <v>70</v>
      </c>
      <c r="D9" s="301" t="s">
        <v>56</v>
      </c>
      <c r="E9" s="301">
        <v>1000</v>
      </c>
      <c r="F9" s="301" t="str">
        <f>IF(UnitConv[[#This Row],[Unit of mass/weight]]="Yes","No",IF(UnitConv[[#This Row],[Unit of mass/weight]]="No","Yes","Error"))</f>
        <v>No</v>
      </c>
      <c r="G9" s="301" t="s">
        <v>58</v>
      </c>
      <c r="H9" s="301" t="str">
        <f>IF(UnitConv[[#This Row],[Unit of mass/weight]]="Yes",UnitConv[[#This Row],[Unit]],"")</f>
        <v>tonne</v>
      </c>
      <c r="I9" s="301" t="str">
        <f>IF(UnitConv[[#This Row],[Unit of volume]]="Yes",UnitConv[[#This Row],[Unit]],"")</f>
        <v/>
      </c>
    </row>
    <row r="10" spans="1:9">
      <c r="A10" s="300" t="s">
        <v>71</v>
      </c>
      <c r="B10" s="301" t="s">
        <v>72</v>
      </c>
      <c r="C10" s="301" t="s">
        <v>73</v>
      </c>
      <c r="D10" s="301" t="s">
        <v>56</v>
      </c>
      <c r="E10" s="301">
        <v>1</v>
      </c>
      <c r="F10" s="301" t="str">
        <f>IF(UnitConv[[#This Row],[Unit of mass/weight]]="Yes","No",IF(UnitConv[[#This Row],[Unit of mass/weight]]="No","Yes","Error"))</f>
        <v>No</v>
      </c>
      <c r="G10" s="301" t="s">
        <v>58</v>
      </c>
      <c r="H10" s="301" t="str">
        <f>IF(UnitConv[[#This Row],[Unit of mass/weight]]="Yes",UnitConv[[#This Row],[Unit]],"")</f>
        <v>kg</v>
      </c>
      <c r="I10" s="301" t="str">
        <f>IF(UnitConv[[#This Row],[Unit of volume]]="Yes",UnitConv[[#This Row],[Unit]],"")</f>
        <v/>
      </c>
    </row>
    <row r="11" spans="1:9">
      <c r="A11" s="300" t="s">
        <v>74</v>
      </c>
      <c r="B11" s="301" t="s">
        <v>75</v>
      </c>
      <c r="C11" s="301" t="s">
        <v>76</v>
      </c>
      <c r="D11" s="301" t="s">
        <v>56</v>
      </c>
      <c r="E11" s="302">
        <v>1E-3</v>
      </c>
      <c r="F11" s="301" t="str">
        <f>IF(UnitConv[[#This Row],[Unit of mass/weight]]="Yes","No",IF(UnitConv[[#This Row],[Unit of mass/weight]]="No","Yes","Error"))</f>
        <v>No</v>
      </c>
      <c r="G11" s="301" t="s">
        <v>58</v>
      </c>
      <c r="H11" s="301" t="str">
        <f>IF(UnitConv[[#This Row],[Unit of mass/weight]]="Yes",UnitConv[[#This Row],[Unit]],"")</f>
        <v>g</v>
      </c>
      <c r="I11" s="301" t="str">
        <f>IF(UnitConv[[#This Row],[Unit of volume]]="Yes",UnitConv[[#This Row],[Unit]],"")</f>
        <v/>
      </c>
    </row>
    <row r="12" spans="1:9" s="296" customFormat="1">
      <c r="A12" s="300" t="s">
        <v>994</v>
      </c>
      <c r="B12" s="301" t="s">
        <v>995</v>
      </c>
      <c r="C12" s="301" t="s">
        <v>996</v>
      </c>
      <c r="D12" s="301" t="s">
        <v>56</v>
      </c>
      <c r="E12" s="303">
        <f>0.45359237*100</f>
        <v>45.359237</v>
      </c>
      <c r="F12" s="303" t="str">
        <f>IF(UnitConv[[#This Row],[Unit of mass/weight]]="Yes","No",IF(UnitConv[[#This Row],[Unit of mass/weight]]="No","Yes","Error"))</f>
        <v>No</v>
      </c>
      <c r="G12" s="301"/>
      <c r="H12" s="303" t="str">
        <f>IF(UnitConv[[#This Row],[Unit of mass/weight]]="Yes",UnitConv[[#This Row],[Unit]],"")</f>
        <v>cwt</v>
      </c>
      <c r="I12" s="303" t="str">
        <f>IF(UnitConv[[#This Row],[Unit of volume]]="Yes",UnitConv[[#This Row],[Unit]],"")</f>
        <v/>
      </c>
    </row>
    <row r="13" spans="1:9">
      <c r="A13" s="300" t="s">
        <v>77</v>
      </c>
      <c r="B13" s="301" t="s">
        <v>78</v>
      </c>
      <c r="C13" s="301" t="s">
        <v>76</v>
      </c>
      <c r="D13" s="301" t="s">
        <v>57</v>
      </c>
      <c r="E13" s="301" t="s">
        <v>58</v>
      </c>
      <c r="F13" s="301" t="str">
        <f>IF(UnitConv[[#This Row],[Unit of mass/weight]]="Yes","No",IF(UnitConv[[#This Row],[Unit of mass/weight]]="No","Yes","Error"))</f>
        <v>Yes</v>
      </c>
      <c r="G13" s="301">
        <v>1</v>
      </c>
      <c r="H13" s="301" t="str">
        <f>IF(UnitConv[[#This Row],[Unit of mass/weight]]="Yes",UnitConv[[#This Row],[Unit]],"")</f>
        <v/>
      </c>
      <c r="I13" s="301" t="str">
        <f>IF(UnitConv[[#This Row],[Unit of volume]]="Yes",UnitConv[[#This Row],[Unit]],"")</f>
        <v>L</v>
      </c>
    </row>
    <row r="14" spans="1:9">
      <c r="A14" s="300" t="s">
        <v>79</v>
      </c>
      <c r="B14" s="301" t="s">
        <v>80</v>
      </c>
      <c r="C14" s="301" t="s">
        <v>81</v>
      </c>
      <c r="D14" s="301" t="s">
        <v>57</v>
      </c>
      <c r="E14" s="301" t="s">
        <v>58</v>
      </c>
      <c r="F14" s="301" t="str">
        <f>IF(UnitConv[[#This Row],[Unit of mass/weight]]="Yes","No",IF(UnitConv[[#This Row],[Unit of mass/weight]]="No","Yes","Error"))</f>
        <v>Yes</v>
      </c>
      <c r="G14" s="302">
        <v>1E-3</v>
      </c>
      <c r="H14" s="302" t="str">
        <f>IF(UnitConv[[#This Row],[Unit of mass/weight]]="Yes",UnitConv[[#This Row],[Unit]],"")</f>
        <v/>
      </c>
      <c r="I14" s="302" t="str">
        <f>IF(UnitConv[[#This Row],[Unit of volume]]="Yes",UnitConv[[#This Row],[Unit]],"")</f>
        <v>mL</v>
      </c>
    </row>
    <row r="15" spans="1:9">
      <c r="A15" s="300" t="s">
        <v>82</v>
      </c>
      <c r="B15" s="301" t="s">
        <v>83</v>
      </c>
      <c r="C15" s="301" t="s">
        <v>84</v>
      </c>
      <c r="D15" s="301" t="s">
        <v>57</v>
      </c>
      <c r="E15" s="301" t="s">
        <v>58</v>
      </c>
      <c r="F15" s="301" t="str">
        <f>IF(UnitConv[[#This Row],[Unit of mass/weight]]="Yes","No",IF(UnitConv[[#This Row],[Unit of mass/weight]]="No","Yes","Error"))</f>
        <v>Yes</v>
      </c>
      <c r="G15" s="302">
        <v>9.9999999999999995E-7</v>
      </c>
      <c r="H15" s="302" t="str">
        <f>IF(UnitConv[[#This Row],[Unit of mass/weight]]="Yes",UnitConv[[#This Row],[Unit]],"")</f>
        <v/>
      </c>
      <c r="I15" s="302" t="str">
        <f>IF(UnitConv[[#This Row],[Unit of volume]]="Yes",UnitConv[[#This Row],[Unit]],"")</f>
        <v>µL</v>
      </c>
    </row>
    <row r="16" spans="1:9">
      <c r="A16" s="300" t="s">
        <v>85</v>
      </c>
      <c r="B16" s="301" t="s">
        <v>86</v>
      </c>
      <c r="C16" s="301" t="s">
        <v>55</v>
      </c>
      <c r="D16" s="301" t="s">
        <v>57</v>
      </c>
      <c r="E16" s="301" t="s">
        <v>58</v>
      </c>
      <c r="F16" s="301" t="str">
        <f>IF(UnitConv[[#This Row],[Unit of mass/weight]]="Yes","No",IF(UnitConv[[#This Row],[Unit of mass/weight]]="No","Yes","Error"))</f>
        <v>Yes</v>
      </c>
      <c r="G16" s="301">
        <v>3.7854117839999999</v>
      </c>
      <c r="H16" s="301" t="str">
        <f>IF(UnitConv[[#This Row],[Unit of mass/weight]]="Yes",UnitConv[[#This Row],[Unit]],"")</f>
        <v/>
      </c>
      <c r="I16" s="301" t="str">
        <f>IF(UnitConv[[#This Row],[Unit of volume]]="Yes",UnitConv[[#This Row],[Unit]],"")</f>
        <v>gal</v>
      </c>
    </row>
    <row r="17" spans="1:9">
      <c r="A17" s="300" t="s">
        <v>87</v>
      </c>
      <c r="B17" s="301" t="s">
        <v>88</v>
      </c>
      <c r="C17" s="301" t="s">
        <v>89</v>
      </c>
      <c r="D17" s="301" t="s">
        <v>57</v>
      </c>
      <c r="E17" s="301" t="s">
        <v>58</v>
      </c>
      <c r="F17" s="301" t="str">
        <f>IF(UnitConv[[#This Row],[Unit of mass/weight]]="Yes","No",IF(UnitConv[[#This Row],[Unit of mass/weight]]="No","Yes","Error"))</f>
        <v>Yes</v>
      </c>
      <c r="G17" s="301">
        <v>4.5460900000000004</v>
      </c>
      <c r="H17" s="301" t="str">
        <f>IF(UnitConv[[#This Row],[Unit of mass/weight]]="Yes",UnitConv[[#This Row],[Unit]],"")</f>
        <v/>
      </c>
      <c r="I17" s="301" t="str">
        <f>IF(UnitConv[[#This Row],[Unit of volume]]="Yes",UnitConv[[#This Row],[Unit]],"")</f>
        <v>imperial gal</v>
      </c>
    </row>
    <row r="18" spans="1:9">
      <c r="A18" s="300" t="s">
        <v>90</v>
      </c>
      <c r="B18" s="301" t="s">
        <v>91</v>
      </c>
      <c r="C18" s="301" t="s">
        <v>55</v>
      </c>
      <c r="D18" s="301" t="s">
        <v>57</v>
      </c>
      <c r="E18" s="301" t="s">
        <v>58</v>
      </c>
      <c r="F18" s="301" t="str">
        <f>IF(UnitConv[[#This Row],[Unit of mass/weight]]="Yes","No",IF(UnitConv[[#This Row],[Unit of mass/weight]]="No","Yes","Error"))</f>
        <v>Yes</v>
      </c>
      <c r="G18" s="301">
        <v>4.4048837708599997</v>
      </c>
      <c r="H18" s="301" t="str">
        <f>IF(UnitConv[[#This Row],[Unit of mass/weight]]="Yes",UnitConv[[#This Row],[Unit]],"")</f>
        <v/>
      </c>
      <c r="I18" s="301" t="str">
        <f>IF(UnitConv[[#This Row],[Unit of volume]]="Yes",UnitConv[[#This Row],[Unit]],"")</f>
        <v>dry gal</v>
      </c>
    </row>
    <row r="19" spans="1:9">
      <c r="A19" s="300" t="s">
        <v>92</v>
      </c>
      <c r="B19" s="301" t="s">
        <v>93</v>
      </c>
      <c r="C19" s="301" t="s">
        <v>55</v>
      </c>
      <c r="D19" s="301" t="s">
        <v>57</v>
      </c>
      <c r="E19" s="301" t="s">
        <v>58</v>
      </c>
      <c r="F19" s="301" t="str">
        <f>IF(UnitConv[[#This Row],[Unit of mass/weight]]="Yes","No",IF(UnitConv[[#This Row],[Unit of mass/weight]]="No","Yes","Error"))</f>
        <v>Yes</v>
      </c>
      <c r="G19" s="301">
        <f>3.785411784/128</f>
        <v>2.9573529562499999E-2</v>
      </c>
      <c r="H19" s="301" t="str">
        <f>IF(UnitConv[[#This Row],[Unit of mass/weight]]="Yes",UnitConv[[#This Row],[Unit]],"")</f>
        <v/>
      </c>
      <c r="I19" s="301" t="str">
        <f>IF(UnitConv[[#This Row],[Unit of volume]]="Yes",UnitConv[[#This Row],[Unit]],"")</f>
        <v>fl oz</v>
      </c>
    </row>
    <row r="20" spans="1:9">
      <c r="A20" s="300" t="s">
        <v>94</v>
      </c>
      <c r="B20" s="301" t="s">
        <v>95</v>
      </c>
      <c r="C20" s="301" t="s">
        <v>55</v>
      </c>
      <c r="D20" s="301" t="s">
        <v>57</v>
      </c>
      <c r="E20" s="301" t="s">
        <v>58</v>
      </c>
      <c r="F20" s="301" t="str">
        <f>IF(UnitConv[[#This Row],[Unit of mass/weight]]="Yes","No",IF(UnitConv[[#This Row],[Unit of mass/weight]]="No","Yes","Error"))</f>
        <v>Yes</v>
      </c>
      <c r="G20" s="301">
        <v>28.316846592000001</v>
      </c>
      <c r="H20" s="301" t="str">
        <f>IF(UnitConv[[#This Row],[Unit of mass/weight]]="Yes",UnitConv[[#This Row],[Unit]],"")</f>
        <v/>
      </c>
      <c r="I20" s="301" t="str">
        <f>IF(UnitConv[[#This Row],[Unit of volume]]="Yes",UnitConv[[#This Row],[Unit]],"")</f>
        <v>cu ft</v>
      </c>
    </row>
    <row r="21" spans="1:9">
      <c r="A21" s="300" t="s">
        <v>261</v>
      </c>
      <c r="B21" s="301" t="s">
        <v>900</v>
      </c>
      <c r="C21" s="301" t="s">
        <v>76</v>
      </c>
      <c r="D21" s="301" t="s">
        <v>57</v>
      </c>
      <c r="E21" s="301" t="s">
        <v>58</v>
      </c>
      <c r="F21" s="303" t="str">
        <f>IF(UnitConv[[#This Row],[Unit of mass/weight]]="Yes","No",IF(UnitConv[[#This Row],[Unit of mass/weight]]="No","Yes","Error"))</f>
        <v>Yes</v>
      </c>
      <c r="G21" s="301">
        <v>1000</v>
      </c>
      <c r="H21" s="303" t="str">
        <f>IF(UnitConv[[#This Row],[Unit of mass/weight]]="Yes",UnitConv[[#This Row],[Unit]],"")</f>
        <v/>
      </c>
      <c r="I21" s="303" t="str">
        <f>IF(UnitConv[[#This Row],[Unit of volume]]="Yes",UnitConv[[#This Row],[Unit]],"")</f>
        <v>m3</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1"/>
  <sheetViews>
    <sheetView workbookViewId="0"/>
  </sheetViews>
  <sheetFormatPr baseColWidth="10" defaultColWidth="11" defaultRowHeight="16"/>
  <sheetData>
    <row r="1" spans="1:14">
      <c r="A1" t="s">
        <v>96</v>
      </c>
    </row>
    <row r="2" spans="1:14">
      <c r="A2" t="s">
        <v>97</v>
      </c>
    </row>
    <row r="3" spans="1:14" s="12" customFormat="1">
      <c r="A3" s="12" t="s">
        <v>214</v>
      </c>
      <c r="B3" s="12" t="s">
        <v>212</v>
      </c>
    </row>
    <row r="4" spans="1:14" s="12" customFormat="1">
      <c r="A4" s="12" t="s">
        <v>213</v>
      </c>
      <c r="B4" s="24">
        <v>42947</v>
      </c>
    </row>
    <row r="5" spans="1:14" s="12" customFormat="1">
      <c r="A5" s="12" t="s">
        <v>215</v>
      </c>
      <c r="B5" s="24"/>
    </row>
    <row r="7" spans="1:14">
      <c r="A7" s="440" t="s">
        <v>98</v>
      </c>
      <c r="B7" s="438"/>
      <c r="C7" s="438"/>
      <c r="D7" s="438"/>
      <c r="E7" s="438"/>
      <c r="F7" s="438"/>
    </row>
    <row r="8" spans="1:14">
      <c r="A8" s="440" t="s">
        <v>99</v>
      </c>
      <c r="B8" s="438"/>
      <c r="C8" s="438"/>
      <c r="D8" s="438"/>
      <c r="E8" s="438"/>
      <c r="F8" s="438"/>
    </row>
    <row r="9" spans="1:14">
      <c r="A9" s="438"/>
      <c r="B9" s="438"/>
      <c r="C9" s="438"/>
      <c r="D9" s="438"/>
      <c r="E9" s="438"/>
      <c r="F9" s="438"/>
    </row>
    <row r="10" spans="1:14">
      <c r="A10" s="2" t="s">
        <v>100</v>
      </c>
      <c r="B10" s="437" t="s">
        <v>101</v>
      </c>
      <c r="C10" s="438"/>
      <c r="D10" s="438"/>
      <c r="E10" s="438"/>
      <c r="F10" s="438"/>
    </row>
    <row r="11" spans="1:14">
      <c r="A11" s="2" t="s">
        <v>102</v>
      </c>
      <c r="B11" s="437" t="s">
        <v>103</v>
      </c>
      <c r="C11" s="438"/>
      <c r="D11" s="438"/>
      <c r="E11" s="438"/>
      <c r="F11" s="438"/>
    </row>
    <row r="12" spans="1:14">
      <c r="A12" s="2" t="s">
        <v>104</v>
      </c>
      <c r="B12" s="437" t="s">
        <v>103</v>
      </c>
      <c r="C12" s="438"/>
      <c r="D12" s="438"/>
      <c r="E12" s="438"/>
      <c r="F12" s="438"/>
    </row>
    <row r="13" spans="1:14">
      <c r="A13" s="2" t="s">
        <v>105</v>
      </c>
      <c r="B13" s="437" t="s">
        <v>106</v>
      </c>
      <c r="C13" s="438"/>
      <c r="D13" s="438"/>
      <c r="E13" s="438"/>
      <c r="F13" s="438"/>
    </row>
    <row r="14" spans="1:14">
      <c r="A14" s="2" t="s">
        <v>107</v>
      </c>
      <c r="B14" s="439" t="s">
        <v>108</v>
      </c>
      <c r="C14" s="438"/>
      <c r="D14" s="438"/>
      <c r="E14" s="438"/>
      <c r="F14" s="438"/>
    </row>
    <row r="16" spans="1:14" ht="17" thickBot="1">
      <c r="A16" s="3" t="s">
        <v>109</v>
      </c>
      <c r="B16" s="3" t="s">
        <v>110</v>
      </c>
      <c r="C16" s="3" t="s">
        <v>111</v>
      </c>
      <c r="D16" s="3" t="s">
        <v>112</v>
      </c>
      <c r="E16" s="3" t="s">
        <v>113</v>
      </c>
      <c r="F16" s="3" t="s">
        <v>114</v>
      </c>
      <c r="G16" s="3" t="s">
        <v>115</v>
      </c>
      <c r="H16" s="3" t="s">
        <v>116</v>
      </c>
      <c r="I16" s="3" t="s">
        <v>117</v>
      </c>
      <c r="J16" s="3" t="s">
        <v>118</v>
      </c>
      <c r="K16" s="3" t="s">
        <v>119</v>
      </c>
      <c r="L16" s="3" t="s">
        <v>120</v>
      </c>
      <c r="M16" s="3" t="s">
        <v>121</v>
      </c>
      <c r="N16" s="3" t="s">
        <v>122</v>
      </c>
    </row>
    <row r="17" spans="1:16" ht="17" thickTop="1">
      <c r="A17" s="4">
        <v>1984</v>
      </c>
      <c r="M17" s="5">
        <v>100</v>
      </c>
      <c r="N17" s="6">
        <f>AVERAGE(ChemPPI[[#This Row],[Jan]:[Dec]])</f>
        <v>100</v>
      </c>
      <c r="P17" s="46"/>
    </row>
    <row r="18" spans="1:16">
      <c r="A18" s="4">
        <v>1985</v>
      </c>
      <c r="B18" s="5">
        <v>100.2</v>
      </c>
      <c r="C18" s="5">
        <v>100</v>
      </c>
      <c r="D18" s="5">
        <v>100.3</v>
      </c>
      <c r="E18" s="5">
        <v>100.6</v>
      </c>
      <c r="F18" s="5">
        <v>100.8</v>
      </c>
      <c r="G18" s="5">
        <v>100.8</v>
      </c>
      <c r="H18" s="5">
        <v>101.1</v>
      </c>
      <c r="I18" s="5">
        <v>101</v>
      </c>
      <c r="J18" s="5">
        <v>101.5</v>
      </c>
      <c r="K18" s="5">
        <v>101.1</v>
      </c>
      <c r="L18" s="5">
        <v>101</v>
      </c>
      <c r="M18" s="5">
        <v>100.6</v>
      </c>
      <c r="N18" s="6">
        <f>AVERAGE(ChemPPI[[#This Row],[Jan]:[Dec]])</f>
        <v>100.75</v>
      </c>
      <c r="P18" s="46"/>
    </row>
    <row r="19" spans="1:16">
      <c r="A19" s="4">
        <v>1986</v>
      </c>
      <c r="B19" s="5">
        <v>101.2</v>
      </c>
      <c r="C19" s="5">
        <v>101.6</v>
      </c>
      <c r="D19" s="5">
        <v>101.3</v>
      </c>
      <c r="E19" s="5">
        <v>101.2</v>
      </c>
      <c r="F19" s="5">
        <v>100.7</v>
      </c>
      <c r="G19" s="5">
        <v>100.5</v>
      </c>
      <c r="H19" s="5">
        <v>100.5</v>
      </c>
      <c r="I19" s="5">
        <v>100.2</v>
      </c>
      <c r="J19" s="5">
        <v>99.7</v>
      </c>
      <c r="K19" s="5">
        <v>99.8</v>
      </c>
      <c r="L19" s="5">
        <v>100.1</v>
      </c>
      <c r="M19" s="5">
        <v>99.8</v>
      </c>
      <c r="N19" s="6">
        <f>AVERAGE(ChemPPI[[#This Row],[Jan]:[Dec]])</f>
        <v>100.55</v>
      </c>
      <c r="P19" s="46"/>
    </row>
    <row r="20" spans="1:16">
      <c r="A20" s="4">
        <v>1987</v>
      </c>
      <c r="B20" s="5">
        <v>100.4</v>
      </c>
      <c r="C20" s="5">
        <v>100.8</v>
      </c>
      <c r="D20" s="5">
        <v>101.5</v>
      </c>
      <c r="E20" s="5">
        <v>102.2</v>
      </c>
      <c r="F20" s="5">
        <v>103</v>
      </c>
      <c r="G20" s="5">
        <v>103.4</v>
      </c>
      <c r="H20" s="5">
        <v>104.2</v>
      </c>
      <c r="I20" s="5">
        <v>104.5</v>
      </c>
      <c r="J20" s="5">
        <v>105.1</v>
      </c>
      <c r="K20" s="5">
        <v>105.6</v>
      </c>
      <c r="L20" s="5">
        <v>106.3</v>
      </c>
      <c r="M20" s="5">
        <v>106.6</v>
      </c>
      <c r="N20" s="6">
        <f>AVERAGE(ChemPPI[[#This Row],[Jan]:[Dec]])</f>
        <v>103.63333333333333</v>
      </c>
      <c r="P20" s="46"/>
    </row>
    <row r="21" spans="1:16">
      <c r="A21" s="4">
        <v>1988</v>
      </c>
      <c r="B21" s="5">
        <v>108.1</v>
      </c>
      <c r="C21" s="5">
        <v>109.3</v>
      </c>
      <c r="D21" s="5">
        <v>109.5</v>
      </c>
      <c r="E21" s="5">
        <v>110.4</v>
      </c>
      <c r="F21" s="5">
        <v>111.6</v>
      </c>
      <c r="G21" s="5">
        <v>112.4</v>
      </c>
      <c r="H21" s="5">
        <v>114</v>
      </c>
      <c r="I21" s="5">
        <v>114.8</v>
      </c>
      <c r="J21" s="5">
        <v>115.4</v>
      </c>
      <c r="K21" s="5">
        <v>116</v>
      </c>
      <c r="L21" s="5">
        <v>117.2</v>
      </c>
      <c r="M21" s="5">
        <v>117.8</v>
      </c>
      <c r="N21" s="6">
        <f>AVERAGE(ChemPPI[[#This Row],[Jan]:[Dec]])</f>
        <v>113.04166666666667</v>
      </c>
      <c r="P21" s="46"/>
    </row>
    <row r="22" spans="1:16">
      <c r="A22" s="4">
        <v>1989</v>
      </c>
      <c r="B22" s="5">
        <v>119.6</v>
      </c>
      <c r="C22" s="5">
        <v>119.9</v>
      </c>
      <c r="D22" s="5">
        <v>120.6</v>
      </c>
      <c r="E22" s="5">
        <v>121</v>
      </c>
      <c r="F22" s="5">
        <v>120.9</v>
      </c>
      <c r="G22" s="5">
        <v>120.6</v>
      </c>
      <c r="H22" s="5">
        <v>119.4</v>
      </c>
      <c r="I22" s="5">
        <v>119</v>
      </c>
      <c r="J22" s="5">
        <v>118.7</v>
      </c>
      <c r="K22" s="5">
        <v>118.7</v>
      </c>
      <c r="L22" s="5">
        <v>118.7</v>
      </c>
      <c r="M22" s="5">
        <v>118.6</v>
      </c>
      <c r="N22" s="6">
        <f>AVERAGE(ChemPPI[[#This Row],[Jan]:[Dec]])</f>
        <v>119.64166666666667</v>
      </c>
      <c r="P22" s="46"/>
    </row>
    <row r="23" spans="1:16">
      <c r="A23" s="4">
        <v>1990</v>
      </c>
      <c r="B23" s="5">
        <v>119</v>
      </c>
      <c r="C23" s="5">
        <v>119.5</v>
      </c>
      <c r="D23" s="5">
        <v>119.8</v>
      </c>
      <c r="E23" s="5">
        <v>120</v>
      </c>
      <c r="F23" s="5">
        <v>120.1</v>
      </c>
      <c r="G23" s="5">
        <v>120.1</v>
      </c>
      <c r="H23" s="5">
        <v>120.3</v>
      </c>
      <c r="I23" s="5">
        <v>120.6</v>
      </c>
      <c r="J23" s="5">
        <v>121.5</v>
      </c>
      <c r="K23" s="5">
        <v>122.6</v>
      </c>
      <c r="L23" s="5">
        <v>124.1</v>
      </c>
      <c r="M23" s="5">
        <v>124.6</v>
      </c>
      <c r="N23" s="6">
        <f>AVERAGE(ChemPPI[[#This Row],[Jan]:[Dec]])</f>
        <v>121.01666666666665</v>
      </c>
      <c r="P23" s="46"/>
    </row>
    <row r="24" spans="1:16">
      <c r="A24" s="4">
        <v>1991</v>
      </c>
      <c r="B24" s="5">
        <v>125.3</v>
      </c>
      <c r="C24" s="5">
        <v>125.7</v>
      </c>
      <c r="D24" s="5">
        <v>124.8</v>
      </c>
      <c r="E24" s="5">
        <v>124.8</v>
      </c>
      <c r="F24" s="5">
        <v>124.2</v>
      </c>
      <c r="G24" s="5">
        <v>124</v>
      </c>
      <c r="H24" s="5">
        <v>123.6</v>
      </c>
      <c r="I24" s="5">
        <v>123.8</v>
      </c>
      <c r="J24" s="5">
        <v>123.9</v>
      </c>
      <c r="K24" s="5">
        <v>124.2</v>
      </c>
      <c r="L24" s="5">
        <v>124.2</v>
      </c>
      <c r="M24" s="5">
        <v>124.3</v>
      </c>
      <c r="N24" s="6">
        <f>AVERAGE(ChemPPI[[#This Row],[Jan]:[Dec]])</f>
        <v>124.40000000000002</v>
      </c>
      <c r="P24" s="46"/>
    </row>
    <row r="25" spans="1:16">
      <c r="A25" s="4">
        <v>1992</v>
      </c>
      <c r="B25" s="5">
        <v>124.2</v>
      </c>
      <c r="C25" s="5">
        <v>124.5</v>
      </c>
      <c r="D25" s="5">
        <v>124.6</v>
      </c>
      <c r="E25" s="5">
        <v>125.1</v>
      </c>
      <c r="F25" s="5">
        <v>125.5</v>
      </c>
      <c r="G25" s="5">
        <v>126</v>
      </c>
      <c r="H25" s="5">
        <v>126.5</v>
      </c>
      <c r="I25" s="5">
        <v>126.5</v>
      </c>
      <c r="J25" s="5">
        <v>126.6</v>
      </c>
      <c r="K25" s="5">
        <v>126.8</v>
      </c>
      <c r="L25" s="5">
        <v>126.9</v>
      </c>
      <c r="M25" s="5">
        <v>126.6</v>
      </c>
      <c r="N25" s="6">
        <f>AVERAGE(ChemPPI[[#This Row],[Jan]:[Dec]])</f>
        <v>125.81666666666666</v>
      </c>
      <c r="P25" s="46"/>
    </row>
    <row r="26" spans="1:16">
      <c r="A26" s="4">
        <v>1993</v>
      </c>
      <c r="B26" s="5">
        <v>127.3</v>
      </c>
      <c r="C26" s="5">
        <v>127.5</v>
      </c>
      <c r="D26" s="5">
        <v>127.2</v>
      </c>
      <c r="E26" s="5">
        <v>127.7</v>
      </c>
      <c r="F26" s="5">
        <v>127.2</v>
      </c>
      <c r="G26" s="5">
        <v>127.2</v>
      </c>
      <c r="H26" s="5">
        <v>127.2</v>
      </c>
      <c r="I26" s="5">
        <v>126.9</v>
      </c>
      <c r="J26" s="5">
        <v>127.1</v>
      </c>
      <c r="K26" s="5">
        <v>127.1</v>
      </c>
      <c r="L26" s="5">
        <v>127.3</v>
      </c>
      <c r="M26" s="5">
        <v>126.7</v>
      </c>
      <c r="N26" s="6">
        <f>AVERAGE(ChemPPI[[#This Row],[Jan]:[Dec]])</f>
        <v>127.19999999999999</v>
      </c>
      <c r="P26" s="46"/>
    </row>
    <row r="27" spans="1:16">
      <c r="A27" s="4">
        <v>1994</v>
      </c>
      <c r="B27" s="5">
        <v>126.9</v>
      </c>
      <c r="C27" s="5">
        <v>126.8</v>
      </c>
      <c r="D27" s="5">
        <v>126.7</v>
      </c>
      <c r="E27" s="5">
        <v>127.5</v>
      </c>
      <c r="F27" s="5">
        <v>128</v>
      </c>
      <c r="G27" s="5">
        <v>128.4</v>
      </c>
      <c r="H27" s="5">
        <v>129.19999999999999</v>
      </c>
      <c r="I27" s="5">
        <v>130.30000000000001</v>
      </c>
      <c r="J27" s="5">
        <v>132</v>
      </c>
      <c r="K27" s="5">
        <v>133.6</v>
      </c>
      <c r="L27" s="5">
        <v>134.4</v>
      </c>
      <c r="M27" s="5">
        <v>136.1</v>
      </c>
      <c r="N27" s="6">
        <f>AVERAGE(ChemPPI[[#This Row],[Jan]:[Dec]])</f>
        <v>129.99166666666665</v>
      </c>
      <c r="P27" s="46"/>
    </row>
    <row r="28" spans="1:16">
      <c r="A28" s="4">
        <v>1995</v>
      </c>
      <c r="B28" s="5">
        <v>138.4</v>
      </c>
      <c r="C28" s="5">
        <v>140.6</v>
      </c>
      <c r="D28" s="5">
        <v>141.4</v>
      </c>
      <c r="E28" s="5">
        <v>144.80000000000001</v>
      </c>
      <c r="F28" s="5">
        <v>145</v>
      </c>
      <c r="G28" s="5">
        <v>143.9</v>
      </c>
      <c r="H28" s="5">
        <v>144.5</v>
      </c>
      <c r="I28" s="5">
        <v>144.30000000000001</v>
      </c>
      <c r="J28" s="5">
        <v>144.69999999999999</v>
      </c>
      <c r="K28" s="5">
        <v>144.69999999999999</v>
      </c>
      <c r="L28" s="5">
        <v>144.6</v>
      </c>
      <c r="M28" s="5">
        <v>144.30000000000001</v>
      </c>
      <c r="N28" s="6">
        <f>AVERAGE(ChemPPI[[#This Row],[Jan]:[Dec]])</f>
        <v>143.43333333333334</v>
      </c>
      <c r="P28" s="46"/>
    </row>
    <row r="29" spans="1:16">
      <c r="A29" s="4">
        <v>1996</v>
      </c>
      <c r="B29" s="5">
        <v>144.6</v>
      </c>
      <c r="C29" s="5">
        <v>144.5</v>
      </c>
      <c r="D29" s="5">
        <v>145</v>
      </c>
      <c r="E29" s="5">
        <v>145.30000000000001</v>
      </c>
      <c r="F29" s="5">
        <v>146</v>
      </c>
      <c r="G29" s="5">
        <v>146</v>
      </c>
      <c r="H29" s="5">
        <v>145.9</v>
      </c>
      <c r="I29" s="5">
        <v>146.1</v>
      </c>
      <c r="J29" s="5">
        <v>146.80000000000001</v>
      </c>
      <c r="K29" s="5">
        <v>146.80000000000001</v>
      </c>
      <c r="L29" s="5">
        <v>146.30000000000001</v>
      </c>
      <c r="M29" s="5">
        <v>146.4</v>
      </c>
      <c r="N29" s="6">
        <f>AVERAGE(ChemPPI[[#This Row],[Jan]:[Dec]])</f>
        <v>145.80833333333334</v>
      </c>
      <c r="P29" s="46"/>
    </row>
    <row r="30" spans="1:16">
      <c r="A30" s="4">
        <v>1997</v>
      </c>
      <c r="B30" s="5">
        <v>146.80000000000001</v>
      </c>
      <c r="C30" s="5">
        <v>146.80000000000001</v>
      </c>
      <c r="D30" s="5">
        <v>146.9</v>
      </c>
      <c r="E30" s="5">
        <v>147</v>
      </c>
      <c r="F30" s="5">
        <v>147</v>
      </c>
      <c r="G30" s="5">
        <v>147</v>
      </c>
      <c r="H30" s="5">
        <v>147.1</v>
      </c>
      <c r="I30" s="5">
        <v>147.19999999999999</v>
      </c>
      <c r="J30" s="5">
        <v>147.1</v>
      </c>
      <c r="K30" s="5">
        <v>147.30000000000001</v>
      </c>
      <c r="L30" s="5">
        <v>147.30000000000001</v>
      </c>
      <c r="M30" s="5">
        <v>147.30000000000001</v>
      </c>
      <c r="N30" s="6">
        <f>AVERAGE(ChemPPI[[#This Row],[Jan]:[Dec]])</f>
        <v>147.06666666666663</v>
      </c>
      <c r="P30" s="46"/>
    </row>
    <row r="31" spans="1:16">
      <c r="A31" s="4">
        <v>1998</v>
      </c>
      <c r="B31" s="5">
        <v>147.30000000000001</v>
      </c>
      <c r="C31" s="5">
        <v>147.1</v>
      </c>
      <c r="D31" s="5">
        <v>149.19999999999999</v>
      </c>
      <c r="E31" s="5">
        <v>149.80000000000001</v>
      </c>
      <c r="F31" s="5">
        <v>149.69999999999999</v>
      </c>
      <c r="G31" s="5">
        <v>149.5</v>
      </c>
      <c r="H31" s="5">
        <v>149.5</v>
      </c>
      <c r="I31" s="5">
        <v>149.1</v>
      </c>
      <c r="J31" s="5">
        <v>148.5</v>
      </c>
      <c r="K31" s="5">
        <v>148.30000000000001</v>
      </c>
      <c r="L31" s="5">
        <v>148.1</v>
      </c>
      <c r="M31" s="5">
        <v>147.9</v>
      </c>
      <c r="N31" s="6">
        <f>AVERAGE(ChemPPI[[#This Row],[Jan]:[Dec]])</f>
        <v>148.66666666666666</v>
      </c>
      <c r="P31" s="46"/>
    </row>
    <row r="32" spans="1:16">
      <c r="A32" s="4">
        <v>1999</v>
      </c>
      <c r="B32" s="5">
        <v>147.5</v>
      </c>
      <c r="C32" s="5">
        <v>147.30000000000001</v>
      </c>
      <c r="D32" s="5">
        <v>147.5</v>
      </c>
      <c r="E32" s="5">
        <v>147.69999999999999</v>
      </c>
      <c r="F32" s="5">
        <v>148.19999999999999</v>
      </c>
      <c r="G32" s="5">
        <v>149</v>
      </c>
      <c r="H32" s="5">
        <v>149.9</v>
      </c>
      <c r="I32" s="5">
        <v>150</v>
      </c>
      <c r="J32" s="5">
        <v>151</v>
      </c>
      <c r="K32" s="5">
        <v>152.80000000000001</v>
      </c>
      <c r="L32" s="5">
        <v>153</v>
      </c>
      <c r="M32" s="5">
        <v>152.9</v>
      </c>
      <c r="N32" s="6">
        <f>AVERAGE(ChemPPI[[#This Row],[Jan]:[Dec]])</f>
        <v>149.73333333333335</v>
      </c>
      <c r="P32" s="46"/>
    </row>
    <row r="33" spans="1:16">
      <c r="A33" s="4">
        <v>2000</v>
      </c>
      <c r="B33" s="5">
        <v>153.6</v>
      </c>
      <c r="C33" s="5">
        <v>154.5</v>
      </c>
      <c r="D33" s="5">
        <v>155.19999999999999</v>
      </c>
      <c r="E33" s="5">
        <v>155.5</v>
      </c>
      <c r="F33" s="5">
        <v>156.4</v>
      </c>
      <c r="G33" s="5">
        <v>156.5</v>
      </c>
      <c r="H33" s="5">
        <v>157.4</v>
      </c>
      <c r="I33" s="5">
        <v>157.5</v>
      </c>
      <c r="J33" s="5">
        <v>158.30000000000001</v>
      </c>
      <c r="K33" s="5">
        <v>158.6</v>
      </c>
      <c r="L33" s="5">
        <v>158.30000000000001</v>
      </c>
      <c r="M33" s="5">
        <v>158.69999999999999</v>
      </c>
      <c r="N33" s="6">
        <f>AVERAGE(ChemPPI[[#This Row],[Jan]:[Dec]])</f>
        <v>156.70833333333331</v>
      </c>
      <c r="P33" s="46"/>
    </row>
    <row r="34" spans="1:16">
      <c r="A34" s="4">
        <v>2001</v>
      </c>
      <c r="B34" s="5">
        <v>160.30000000000001</v>
      </c>
      <c r="C34" s="5">
        <v>161.5</v>
      </c>
      <c r="D34" s="5">
        <v>161.6</v>
      </c>
      <c r="E34" s="5">
        <v>161.4</v>
      </c>
      <c r="F34" s="5">
        <v>160.1</v>
      </c>
      <c r="G34" s="5">
        <v>159.69999999999999</v>
      </c>
      <c r="H34" s="5">
        <v>157.80000000000001</v>
      </c>
      <c r="I34" s="5">
        <v>156.30000000000001</v>
      </c>
      <c r="J34" s="5">
        <v>156.6</v>
      </c>
      <c r="K34" s="5">
        <v>155.69999999999999</v>
      </c>
      <c r="L34" s="5">
        <v>155.4</v>
      </c>
      <c r="M34" s="5">
        <v>154.30000000000001</v>
      </c>
      <c r="N34" s="6">
        <f>AVERAGE(ChemPPI[[#This Row],[Jan]:[Dec]])</f>
        <v>158.39166666666665</v>
      </c>
      <c r="P34" s="46"/>
    </row>
    <row r="35" spans="1:16">
      <c r="A35" s="4">
        <v>2002</v>
      </c>
      <c r="B35" s="5">
        <v>154</v>
      </c>
      <c r="C35" s="5">
        <v>154.30000000000001</v>
      </c>
      <c r="D35" s="5">
        <v>155.1</v>
      </c>
      <c r="E35" s="5">
        <v>155.9</v>
      </c>
      <c r="F35" s="5">
        <v>156.30000000000001</v>
      </c>
      <c r="G35" s="5">
        <v>157</v>
      </c>
      <c r="H35" s="5">
        <v>158.5</v>
      </c>
      <c r="I35" s="5">
        <v>158.6</v>
      </c>
      <c r="J35" s="5">
        <v>158.69999999999999</v>
      </c>
      <c r="K35" s="5">
        <v>159.6</v>
      </c>
      <c r="L35" s="5">
        <v>159.69999999999999</v>
      </c>
      <c r="M35" s="5">
        <v>159.30000000000001</v>
      </c>
      <c r="N35" s="6">
        <f>AVERAGE(ChemPPI[[#This Row],[Jan]:[Dec]])</f>
        <v>157.24999999999997</v>
      </c>
      <c r="P35" s="46"/>
    </row>
    <row r="36" spans="1:16">
      <c r="A36" s="4">
        <v>2003</v>
      </c>
      <c r="B36" s="5">
        <v>160.9</v>
      </c>
      <c r="C36" s="5">
        <v>162.30000000000001</v>
      </c>
      <c r="D36" s="5">
        <v>165.2</v>
      </c>
      <c r="E36" s="5">
        <v>166.7</v>
      </c>
      <c r="F36" s="5">
        <v>165.8</v>
      </c>
      <c r="G36" s="5">
        <v>165</v>
      </c>
      <c r="H36" s="5">
        <v>164.5</v>
      </c>
      <c r="I36" s="5">
        <v>164.2</v>
      </c>
      <c r="J36" s="5">
        <v>164.8</v>
      </c>
      <c r="K36" s="5">
        <v>165.2</v>
      </c>
      <c r="L36" s="5">
        <v>165</v>
      </c>
      <c r="M36" s="5">
        <v>165.3</v>
      </c>
      <c r="N36" s="6">
        <f>AVERAGE(ChemPPI[[#This Row],[Jan]:[Dec]])</f>
        <v>164.57500000000002</v>
      </c>
      <c r="P36" s="46"/>
    </row>
    <row r="37" spans="1:16">
      <c r="A37" s="4">
        <v>2004</v>
      </c>
      <c r="B37" s="5">
        <v>167</v>
      </c>
      <c r="C37" s="5">
        <v>167.9</v>
      </c>
      <c r="D37" s="5">
        <v>168.8</v>
      </c>
      <c r="E37" s="5">
        <v>169.7</v>
      </c>
      <c r="F37" s="5">
        <v>170.3</v>
      </c>
      <c r="G37" s="5">
        <v>171.6</v>
      </c>
      <c r="H37" s="5">
        <v>172.2</v>
      </c>
      <c r="I37" s="5">
        <v>173.8</v>
      </c>
      <c r="J37" s="5">
        <v>175.5</v>
      </c>
      <c r="K37" s="5">
        <v>177.2</v>
      </c>
      <c r="L37" s="5">
        <v>179.3</v>
      </c>
      <c r="M37" s="5">
        <v>180.5</v>
      </c>
      <c r="N37" s="6">
        <f>AVERAGE(ChemPPI[[#This Row],[Jan]:[Dec]])</f>
        <v>172.81666666666669</v>
      </c>
      <c r="P37" s="46"/>
    </row>
    <row r="38" spans="1:16">
      <c r="A38" s="4">
        <v>2005</v>
      </c>
      <c r="B38" s="5">
        <v>182.7</v>
      </c>
      <c r="C38" s="5">
        <v>183.4</v>
      </c>
      <c r="D38" s="5">
        <v>184.7</v>
      </c>
      <c r="E38" s="5">
        <v>185.9</v>
      </c>
      <c r="F38" s="5">
        <v>185.8</v>
      </c>
      <c r="G38" s="5">
        <v>185.3</v>
      </c>
      <c r="H38" s="5">
        <v>186.3</v>
      </c>
      <c r="I38" s="5">
        <v>186.4</v>
      </c>
      <c r="J38" s="5">
        <v>187.7</v>
      </c>
      <c r="K38" s="5">
        <v>191.2</v>
      </c>
      <c r="L38" s="5">
        <v>193.6</v>
      </c>
      <c r="M38" s="5">
        <v>193.9</v>
      </c>
      <c r="N38" s="6">
        <f>AVERAGE(ChemPPI[[#This Row],[Jan]:[Dec]])</f>
        <v>187.24166666666667</v>
      </c>
      <c r="P38" s="46"/>
    </row>
    <row r="39" spans="1:16">
      <c r="A39" s="4">
        <v>2006</v>
      </c>
      <c r="B39" s="5">
        <v>195.7</v>
      </c>
      <c r="C39" s="5">
        <v>196.2</v>
      </c>
      <c r="D39" s="5">
        <v>196.2</v>
      </c>
      <c r="E39" s="5">
        <v>195.7</v>
      </c>
      <c r="F39" s="5">
        <v>196.6</v>
      </c>
      <c r="G39" s="5">
        <v>197.2</v>
      </c>
      <c r="H39" s="5">
        <v>197.6</v>
      </c>
      <c r="I39" s="5">
        <v>197.8</v>
      </c>
      <c r="J39" s="5">
        <v>197.9</v>
      </c>
      <c r="K39" s="5">
        <v>197.2</v>
      </c>
      <c r="L39" s="5">
        <v>196.5</v>
      </c>
      <c r="M39" s="5">
        <v>197</v>
      </c>
      <c r="N39" s="6">
        <f>AVERAGE(ChemPPI[[#This Row],[Jan]:[Dec]])</f>
        <v>196.79999999999998</v>
      </c>
      <c r="P39" s="46"/>
    </row>
    <row r="40" spans="1:16">
      <c r="A40" s="4">
        <v>2007</v>
      </c>
      <c r="B40" s="5">
        <v>197.3</v>
      </c>
      <c r="C40" s="5">
        <v>198.1</v>
      </c>
      <c r="D40" s="5">
        <v>199.4</v>
      </c>
      <c r="E40" s="5">
        <v>201.1</v>
      </c>
      <c r="F40" s="5">
        <v>201.9</v>
      </c>
      <c r="G40" s="5">
        <v>202.8</v>
      </c>
      <c r="H40" s="5">
        <v>203.6</v>
      </c>
      <c r="I40" s="5">
        <v>204.9</v>
      </c>
      <c r="J40" s="5">
        <v>205</v>
      </c>
      <c r="K40" s="5">
        <v>206.4</v>
      </c>
      <c r="L40" s="5">
        <v>209.2</v>
      </c>
      <c r="M40" s="5">
        <v>210.4</v>
      </c>
      <c r="N40" s="6">
        <f>AVERAGE(ChemPPI[[#This Row],[Jan]:[Dec]])</f>
        <v>203.34166666666667</v>
      </c>
      <c r="P40" s="46"/>
    </row>
    <row r="41" spans="1:16">
      <c r="A41" s="4">
        <v>2008</v>
      </c>
      <c r="B41" s="5">
        <v>213.6</v>
      </c>
      <c r="C41" s="5">
        <v>215.8</v>
      </c>
      <c r="D41" s="5">
        <v>218.4</v>
      </c>
      <c r="E41" s="5">
        <v>221.1</v>
      </c>
      <c r="F41" s="5">
        <v>224.5</v>
      </c>
      <c r="G41" s="5">
        <v>228.5</v>
      </c>
      <c r="H41" s="5">
        <v>234.5</v>
      </c>
      <c r="I41" s="5">
        <v>238.2</v>
      </c>
      <c r="J41" s="5">
        <v>240.4</v>
      </c>
      <c r="K41" s="5">
        <v>239.3</v>
      </c>
      <c r="L41" s="5">
        <v>234.5</v>
      </c>
      <c r="M41" s="5">
        <v>229.7</v>
      </c>
      <c r="N41" s="6">
        <f>AVERAGE(ChemPPI[[#This Row],[Jan]:[Dec]])</f>
        <v>228.20833333333334</v>
      </c>
      <c r="P41" s="46"/>
    </row>
    <row r="42" spans="1:16">
      <c r="A42" s="4">
        <v>2009</v>
      </c>
      <c r="B42" s="5">
        <v>226.7</v>
      </c>
      <c r="C42" s="5">
        <v>225.1</v>
      </c>
      <c r="D42" s="5">
        <v>224.6</v>
      </c>
      <c r="E42" s="5">
        <v>223.6</v>
      </c>
      <c r="F42" s="5">
        <v>222.8</v>
      </c>
      <c r="G42" s="5">
        <v>222.4</v>
      </c>
      <c r="H42" s="5">
        <v>224.1</v>
      </c>
      <c r="I42" s="5">
        <v>224</v>
      </c>
      <c r="J42" s="5">
        <v>225.1</v>
      </c>
      <c r="K42" s="5">
        <v>225</v>
      </c>
      <c r="L42" s="5">
        <v>225.4</v>
      </c>
      <c r="M42" s="5">
        <v>227.3</v>
      </c>
      <c r="N42" s="6">
        <f>AVERAGE(ChemPPI[[#This Row],[Jan]:[Dec]])</f>
        <v>224.67499999999998</v>
      </c>
      <c r="P42" s="46"/>
    </row>
    <row r="43" spans="1:16">
      <c r="A43" s="4">
        <v>2010</v>
      </c>
      <c r="B43" s="5">
        <v>228.7</v>
      </c>
      <c r="C43" s="5">
        <v>231.3</v>
      </c>
      <c r="D43" s="5">
        <v>232</v>
      </c>
      <c r="E43" s="5">
        <v>234.1</v>
      </c>
      <c r="F43" s="5">
        <v>233.4</v>
      </c>
      <c r="G43" s="5">
        <v>232.6</v>
      </c>
      <c r="H43" s="5">
        <v>233.5</v>
      </c>
      <c r="I43" s="5">
        <v>233.7</v>
      </c>
      <c r="J43" s="5">
        <v>234.6</v>
      </c>
      <c r="K43" s="5">
        <v>236.3</v>
      </c>
      <c r="L43" s="5">
        <v>236.8</v>
      </c>
      <c r="M43" s="5">
        <v>237.6</v>
      </c>
      <c r="N43" s="6">
        <f>AVERAGE(ChemPPI[[#This Row],[Jan]:[Dec]])</f>
        <v>233.7166666666667</v>
      </c>
      <c r="P43" s="46"/>
    </row>
    <row r="44" spans="1:16">
      <c r="A44" s="4">
        <v>2011</v>
      </c>
      <c r="B44" s="5">
        <v>242.6</v>
      </c>
      <c r="C44" s="5">
        <v>245</v>
      </c>
      <c r="D44" s="5">
        <v>247.6</v>
      </c>
      <c r="E44" s="5">
        <v>250.2</v>
      </c>
      <c r="F44" s="5">
        <v>252.8</v>
      </c>
      <c r="G44" s="5">
        <v>253.4</v>
      </c>
      <c r="H44" s="5">
        <v>255.1</v>
      </c>
      <c r="I44" s="5">
        <v>255.2</v>
      </c>
      <c r="J44" s="5">
        <v>256.7</v>
      </c>
      <c r="K44" s="5">
        <v>255.9</v>
      </c>
      <c r="L44" s="5">
        <v>255.6</v>
      </c>
      <c r="M44" s="5">
        <v>254.7</v>
      </c>
      <c r="N44" s="6">
        <f>AVERAGE(ChemPPI[[#This Row],[Jan]:[Dec]])</f>
        <v>252.06666666666663</v>
      </c>
      <c r="P44" s="46"/>
    </row>
    <row r="45" spans="1:16">
      <c r="A45" s="4">
        <v>2012</v>
      </c>
      <c r="B45" s="5">
        <v>258.39999999999998</v>
      </c>
      <c r="C45" s="5">
        <v>259.7</v>
      </c>
      <c r="D45" s="5">
        <v>261.7</v>
      </c>
      <c r="E45" s="5">
        <v>262</v>
      </c>
      <c r="F45" s="5">
        <v>262</v>
      </c>
      <c r="G45" s="5">
        <v>259.60000000000002</v>
      </c>
      <c r="H45" s="5">
        <v>259.60000000000002</v>
      </c>
      <c r="I45" s="5">
        <v>260.2</v>
      </c>
      <c r="J45" s="5">
        <v>259.89999999999998</v>
      </c>
      <c r="K45" s="5">
        <v>260.8</v>
      </c>
      <c r="L45" s="5">
        <v>259.89999999999998</v>
      </c>
      <c r="M45" s="5">
        <v>259.3</v>
      </c>
      <c r="N45" s="6">
        <f>AVERAGE(ChemPPI[[#This Row],[Jan]:[Dec]])</f>
        <v>260.25833333333338</v>
      </c>
      <c r="P45" s="46"/>
    </row>
    <row r="46" spans="1:16">
      <c r="A46" s="4">
        <v>2013</v>
      </c>
      <c r="B46" s="5">
        <v>262.8</v>
      </c>
      <c r="C46" s="5">
        <v>264.7</v>
      </c>
      <c r="D46" s="5">
        <v>265</v>
      </c>
      <c r="E46" s="5">
        <v>265.3</v>
      </c>
      <c r="F46" s="5">
        <v>265.10000000000002</v>
      </c>
      <c r="G46" s="5">
        <v>265.5</v>
      </c>
      <c r="H46" s="5">
        <v>265.2</v>
      </c>
      <c r="I46" s="5">
        <v>263.89999999999998</v>
      </c>
      <c r="J46" s="5">
        <v>262.8</v>
      </c>
      <c r="K46" s="5">
        <v>262.3</v>
      </c>
      <c r="L46" s="5">
        <v>261.7</v>
      </c>
      <c r="M46" s="5">
        <v>262.60000000000002</v>
      </c>
      <c r="N46" s="6">
        <f>AVERAGE(ChemPPI[[#This Row],[Jan]:[Dec]])</f>
        <v>263.90833333333336</v>
      </c>
      <c r="P46" s="46"/>
    </row>
    <row r="47" spans="1:16">
      <c r="A47" s="4">
        <v>2014</v>
      </c>
      <c r="B47" s="5">
        <v>266.5</v>
      </c>
      <c r="C47" s="5">
        <v>267.89999999999998</v>
      </c>
      <c r="D47" s="5">
        <v>268.10000000000002</v>
      </c>
      <c r="E47" s="5">
        <v>269.89999999999998</v>
      </c>
      <c r="F47" s="5">
        <v>269.5</v>
      </c>
      <c r="G47" s="5">
        <v>270</v>
      </c>
      <c r="H47" s="5">
        <v>271.10000000000002</v>
      </c>
      <c r="I47" s="5">
        <v>271</v>
      </c>
      <c r="J47" s="5">
        <v>271.39999999999998</v>
      </c>
      <c r="K47" s="5">
        <v>270.39999999999998</v>
      </c>
      <c r="L47" s="5">
        <v>267.7</v>
      </c>
      <c r="M47" s="5">
        <v>266.5</v>
      </c>
      <c r="N47" s="6">
        <f>AVERAGE(ChemPPI[[#This Row],[Jan]:[Dec]])</f>
        <v>269.16666666666669</v>
      </c>
      <c r="P47" s="46"/>
    </row>
    <row r="48" spans="1:16">
      <c r="A48" s="4">
        <v>2015</v>
      </c>
      <c r="B48" s="5">
        <v>265.10000000000002</v>
      </c>
      <c r="C48" s="5">
        <v>264.8</v>
      </c>
      <c r="D48" s="5">
        <v>263.5</v>
      </c>
      <c r="E48" s="5">
        <v>264.39999999999998</v>
      </c>
      <c r="F48" s="5">
        <v>265.3</v>
      </c>
      <c r="G48" s="5">
        <v>268.2</v>
      </c>
      <c r="H48" s="5">
        <v>267.3</v>
      </c>
      <c r="I48" s="5">
        <v>266.5</v>
      </c>
      <c r="J48" s="5">
        <v>264.5</v>
      </c>
      <c r="K48" s="5">
        <v>263.2</v>
      </c>
      <c r="L48" s="5">
        <v>262.60000000000002</v>
      </c>
      <c r="M48" s="5">
        <v>262.60000000000002</v>
      </c>
      <c r="N48" s="6">
        <f>AVERAGE(ChemPPI[[#This Row],[Jan]:[Dec]])</f>
        <v>264.83333333333331</v>
      </c>
      <c r="P48" s="46"/>
    </row>
    <row r="49" spans="1:16">
      <c r="A49" s="4">
        <v>2016</v>
      </c>
      <c r="B49" s="5">
        <v>264.89999999999998</v>
      </c>
      <c r="C49" s="5">
        <v>264.39999999999998</v>
      </c>
      <c r="D49" s="5">
        <v>264.8</v>
      </c>
      <c r="E49" s="5">
        <v>266</v>
      </c>
      <c r="F49" s="5">
        <v>266.3</v>
      </c>
      <c r="G49" s="5">
        <v>268.10000000000002</v>
      </c>
      <c r="H49" s="5">
        <v>267.7</v>
      </c>
      <c r="I49" s="5">
        <v>267.7</v>
      </c>
      <c r="J49" s="5">
        <v>268.2</v>
      </c>
      <c r="K49" s="5">
        <v>269</v>
      </c>
      <c r="L49" s="5">
        <v>269.3</v>
      </c>
      <c r="M49" s="5">
        <v>268.8</v>
      </c>
      <c r="N49" s="6">
        <f>AVERAGE(ChemPPI[[#This Row],[Jan]:[Dec]])</f>
        <v>267.10000000000002</v>
      </c>
      <c r="P49" s="46"/>
    </row>
    <row r="50" spans="1:16">
      <c r="A50" s="4">
        <v>2017</v>
      </c>
      <c r="B50" s="293">
        <v>272.8</v>
      </c>
      <c r="C50" s="293">
        <v>274.89999999999998</v>
      </c>
      <c r="D50" s="293">
        <v>276.10000000000002</v>
      </c>
      <c r="E50" s="293">
        <v>277.2</v>
      </c>
      <c r="F50" s="293">
        <v>276.7</v>
      </c>
      <c r="G50" s="293">
        <v>277.5</v>
      </c>
      <c r="H50" s="293">
        <v>276.89999999999998</v>
      </c>
      <c r="I50" s="293">
        <v>277.5</v>
      </c>
      <c r="J50" s="293">
        <v>277.60000000000002</v>
      </c>
      <c r="K50" s="293">
        <v>280.2</v>
      </c>
      <c r="L50" s="293">
        <v>281.2</v>
      </c>
      <c r="M50" s="293">
        <v>282.5</v>
      </c>
      <c r="N50" s="6">
        <f>AVERAGE(ChemPPI[[#This Row],[Jan]:[Dec]])</f>
        <v>277.59166666666664</v>
      </c>
    </row>
    <row r="51" spans="1:16">
      <c r="A51" s="4">
        <v>2018</v>
      </c>
      <c r="B51" s="293">
        <v>284.7</v>
      </c>
      <c r="C51" s="293">
        <v>286.3</v>
      </c>
      <c r="D51" s="293">
        <v>288.5</v>
      </c>
      <c r="E51" s="293">
        <v>288.39999999999998</v>
      </c>
      <c r="F51" s="293">
        <v>289.5</v>
      </c>
      <c r="G51" s="291"/>
      <c r="H51" s="291"/>
      <c r="I51" s="291"/>
      <c r="J51" s="291"/>
      <c r="K51" s="291"/>
      <c r="L51" s="291"/>
      <c r="M51" s="291"/>
      <c r="N51" s="6">
        <f>AVERAGE(ChemPPI[[#This Row],[Jan]:[Dec]])</f>
        <v>287.48</v>
      </c>
    </row>
  </sheetData>
  <mergeCells count="8">
    <mergeCell ref="B13:F13"/>
    <mergeCell ref="B14:F14"/>
    <mergeCell ref="A7:F7"/>
    <mergeCell ref="A8:F8"/>
    <mergeCell ref="A9:F9"/>
    <mergeCell ref="B10:F10"/>
    <mergeCell ref="B11:F11"/>
    <mergeCell ref="B12:F12"/>
  </mergeCells>
  <pageMargins left="0.75" right="0.75" top="1" bottom="1" header="0.5" footer="0.5"/>
  <pageSetup orientation="portrait" horizontalDpi="0" verticalDpi="0"/>
  <legacyDrawing r:id="rId1"/>
  <tableParts count="1">
    <tablePart r:id="rId2"/>
  </tablePart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99"/>
  <sheetViews>
    <sheetView workbookViewId="0"/>
  </sheetViews>
  <sheetFormatPr baseColWidth="10" defaultColWidth="11" defaultRowHeight="16"/>
  <sheetData>
    <row r="1" spans="1:8">
      <c r="A1" t="s">
        <v>298</v>
      </c>
    </row>
    <row r="2" spans="1:8">
      <c r="A2" t="s">
        <v>684</v>
      </c>
    </row>
    <row r="4" spans="1:8">
      <c r="A4" t="s">
        <v>109</v>
      </c>
      <c r="B4" t="s">
        <v>294</v>
      </c>
      <c r="C4" t="s">
        <v>299</v>
      </c>
      <c r="D4" t="s">
        <v>300</v>
      </c>
      <c r="E4" t="s">
        <v>301</v>
      </c>
      <c r="F4" t="s">
        <v>302</v>
      </c>
      <c r="H4" s="27"/>
    </row>
    <row r="5" spans="1:8">
      <c r="A5">
        <v>1980</v>
      </c>
      <c r="B5" s="208">
        <v>261</v>
      </c>
      <c r="C5" s="208">
        <v>675</v>
      </c>
      <c r="D5" s="208">
        <v>823</v>
      </c>
      <c r="E5" s="208">
        <v>303</v>
      </c>
      <c r="F5" s="30" t="s">
        <v>58</v>
      </c>
    </row>
    <row r="6" spans="1:8">
      <c r="A6" s="29">
        <v>1981</v>
      </c>
      <c r="B6" s="208">
        <v>297</v>
      </c>
      <c r="C6" s="208">
        <v>745</v>
      </c>
      <c r="D6" s="208">
        <v>904</v>
      </c>
      <c r="E6" s="208">
        <v>330</v>
      </c>
      <c r="F6" s="30" t="s">
        <v>58</v>
      </c>
    </row>
    <row r="7" spans="1:8">
      <c r="A7" s="29">
        <v>1982</v>
      </c>
      <c r="B7" s="208">
        <v>314</v>
      </c>
      <c r="C7" s="208">
        <v>774</v>
      </c>
      <c r="D7" s="208">
        <v>977</v>
      </c>
      <c r="E7" s="208">
        <v>357</v>
      </c>
      <c r="F7" s="30" t="s">
        <v>58</v>
      </c>
    </row>
    <row r="8" spans="1:8">
      <c r="A8" s="29">
        <v>1983</v>
      </c>
      <c r="B8" s="208">
        <v>317</v>
      </c>
      <c r="C8" s="208">
        <v>786</v>
      </c>
      <c r="D8" s="210">
        <v>1026</v>
      </c>
      <c r="E8" s="208">
        <v>380</v>
      </c>
      <c r="F8" s="30" t="s">
        <v>58</v>
      </c>
    </row>
    <row r="9" spans="1:8">
      <c r="A9" s="29">
        <v>1984</v>
      </c>
      <c r="B9" s="208">
        <v>323</v>
      </c>
      <c r="C9" s="208">
        <v>806</v>
      </c>
      <c r="D9" s="210">
        <v>1061</v>
      </c>
      <c r="E9" s="208">
        <v>387</v>
      </c>
      <c r="F9" s="30" t="s">
        <v>58</v>
      </c>
    </row>
    <row r="10" spans="1:8">
      <c r="A10" s="29">
        <v>1985</v>
      </c>
      <c r="B10" s="208">
        <v>325</v>
      </c>
      <c r="C10" s="208">
        <v>813</v>
      </c>
      <c r="D10" s="210">
        <v>1074</v>
      </c>
      <c r="E10" s="208">
        <v>392</v>
      </c>
      <c r="F10" s="30" t="s">
        <v>58</v>
      </c>
    </row>
    <row r="11" spans="1:8">
      <c r="A11" s="29">
        <v>1986</v>
      </c>
      <c r="B11" s="208">
        <v>318</v>
      </c>
      <c r="C11" s="208">
        <v>817</v>
      </c>
      <c r="D11" s="210">
        <v>1090</v>
      </c>
      <c r="E11" s="208">
        <v>401</v>
      </c>
      <c r="F11" s="30" t="s">
        <v>58</v>
      </c>
    </row>
    <row r="12" spans="1:8">
      <c r="A12" s="29">
        <v>1987</v>
      </c>
      <c r="B12" s="208">
        <v>324</v>
      </c>
      <c r="C12" s="208">
        <v>830</v>
      </c>
      <c r="D12" s="210">
        <v>1122</v>
      </c>
      <c r="E12" s="208">
        <v>412</v>
      </c>
      <c r="F12" s="30" t="s">
        <v>58</v>
      </c>
    </row>
    <row r="13" spans="1:8">
      <c r="A13" s="29">
        <v>1988</v>
      </c>
      <c r="B13" s="208">
        <v>343</v>
      </c>
      <c r="C13" s="208">
        <v>870</v>
      </c>
      <c r="D13" s="210">
        <v>1165</v>
      </c>
      <c r="E13" s="208">
        <v>422</v>
      </c>
      <c r="F13" s="30" t="s">
        <v>58</v>
      </c>
    </row>
    <row r="14" spans="1:8">
      <c r="A14" s="29">
        <v>1989</v>
      </c>
      <c r="B14" s="208">
        <v>355</v>
      </c>
      <c r="C14" s="208">
        <v>914</v>
      </c>
      <c r="D14" s="210">
        <v>1196</v>
      </c>
      <c r="E14" s="208">
        <v>429</v>
      </c>
      <c r="F14" s="30" t="s">
        <v>58</v>
      </c>
    </row>
    <row r="15" spans="1:8">
      <c r="A15" s="29">
        <v>1990</v>
      </c>
      <c r="B15" s="208">
        <v>358</v>
      </c>
      <c r="C15" s="208">
        <v>935</v>
      </c>
      <c r="D15" s="210">
        <v>1226</v>
      </c>
      <c r="E15" s="208">
        <v>441</v>
      </c>
      <c r="F15" s="30" t="s">
        <v>58</v>
      </c>
    </row>
    <row r="16" spans="1:8">
      <c r="A16" s="29">
        <v>1991</v>
      </c>
      <c r="B16" s="208">
        <v>361</v>
      </c>
      <c r="C16" s="208">
        <v>952</v>
      </c>
      <c r="D16" s="210">
        <v>1253</v>
      </c>
      <c r="E16" s="208">
        <v>450</v>
      </c>
      <c r="F16" s="30" t="s">
        <v>58</v>
      </c>
    </row>
    <row r="17" spans="1:6">
      <c r="A17" s="29">
        <v>1992</v>
      </c>
      <c r="B17" s="208">
        <v>358</v>
      </c>
      <c r="C17" s="208">
        <v>960</v>
      </c>
      <c r="D17" s="210">
        <v>1277</v>
      </c>
      <c r="E17" s="208">
        <v>464</v>
      </c>
      <c r="F17" s="30" t="s">
        <v>58</v>
      </c>
    </row>
    <row r="18" spans="1:6">
      <c r="A18" s="29">
        <v>1993</v>
      </c>
      <c r="B18" s="208">
        <v>359</v>
      </c>
      <c r="C18" s="208">
        <v>975</v>
      </c>
      <c r="D18" s="210">
        <v>1311</v>
      </c>
      <c r="E18" s="208">
        <v>485</v>
      </c>
      <c r="F18" s="30" t="s">
        <v>58</v>
      </c>
    </row>
    <row r="19" spans="1:6">
      <c r="A19" s="29">
        <v>1994</v>
      </c>
      <c r="B19" s="208">
        <v>368</v>
      </c>
      <c r="C19" s="210">
        <v>1000</v>
      </c>
      <c r="D19" s="210">
        <v>1350</v>
      </c>
      <c r="E19" s="208">
        <v>503</v>
      </c>
      <c r="F19" s="30" t="s">
        <v>58</v>
      </c>
    </row>
    <row r="20" spans="1:6">
      <c r="A20" s="29">
        <v>1995</v>
      </c>
      <c r="B20" s="208">
        <v>381</v>
      </c>
      <c r="C20" s="210">
        <v>1037</v>
      </c>
      <c r="D20" s="210">
        <v>1392</v>
      </c>
      <c r="E20" s="208">
        <v>509</v>
      </c>
      <c r="F20" s="30" t="s">
        <v>58</v>
      </c>
    </row>
    <row r="21" spans="1:6">
      <c r="A21" s="29">
        <v>1996</v>
      </c>
      <c r="B21" s="208">
        <v>382</v>
      </c>
      <c r="C21" s="210">
        <v>1051</v>
      </c>
      <c r="D21" s="210">
        <v>1419</v>
      </c>
      <c r="E21" s="208">
        <v>524</v>
      </c>
      <c r="F21">
        <v>428.3</v>
      </c>
    </row>
    <row r="22" spans="1:6">
      <c r="A22" s="29">
        <v>1997</v>
      </c>
      <c r="B22" s="208">
        <v>387</v>
      </c>
      <c r="C22" s="210">
        <v>1068</v>
      </c>
      <c r="D22" s="210">
        <v>1449</v>
      </c>
      <c r="E22" s="208">
        <v>542</v>
      </c>
      <c r="F22" s="30" t="s">
        <v>58</v>
      </c>
    </row>
    <row r="23" spans="1:6">
      <c r="A23" s="29">
        <v>1998</v>
      </c>
      <c r="B23" s="208">
        <v>390</v>
      </c>
      <c r="C23" s="210">
        <v>1075</v>
      </c>
      <c r="D23" s="210">
        <v>1478</v>
      </c>
      <c r="E23" s="208">
        <v>551</v>
      </c>
      <c r="F23" s="30" t="s">
        <v>58</v>
      </c>
    </row>
    <row r="24" spans="1:6">
      <c r="A24" s="29">
        <v>1999</v>
      </c>
      <c r="B24" s="208">
        <v>391</v>
      </c>
      <c r="C24" s="210">
        <v>1083</v>
      </c>
      <c r="D24" s="210">
        <v>1497</v>
      </c>
      <c r="E24" s="208">
        <v>564</v>
      </c>
      <c r="F24" s="30" t="s">
        <v>58</v>
      </c>
    </row>
    <row r="25" spans="1:6">
      <c r="A25" s="29">
        <v>2000</v>
      </c>
      <c r="B25" s="208">
        <v>394</v>
      </c>
      <c r="C25" s="210">
        <v>1110</v>
      </c>
      <c r="D25" s="210">
        <v>1543</v>
      </c>
      <c r="E25" s="208">
        <v>579</v>
      </c>
      <c r="F25" s="30" t="s">
        <v>58</v>
      </c>
    </row>
    <row r="26" spans="1:6">
      <c r="A26" s="29">
        <v>2001</v>
      </c>
      <c r="B26" s="208">
        <v>394</v>
      </c>
      <c r="C26" s="210">
        <v>1109</v>
      </c>
      <c r="D26" s="210">
        <v>1580</v>
      </c>
      <c r="E26" s="208">
        <v>590</v>
      </c>
      <c r="F26" s="30" t="s">
        <v>58</v>
      </c>
    </row>
    <row r="27" spans="1:6">
      <c r="A27" s="29">
        <v>2002</v>
      </c>
      <c r="B27" s="208">
        <v>396</v>
      </c>
      <c r="C27" s="210">
        <v>1121</v>
      </c>
      <c r="D27" s="210">
        <v>1642</v>
      </c>
      <c r="E27" s="208">
        <v>609</v>
      </c>
      <c r="F27" s="30" t="s">
        <v>58</v>
      </c>
    </row>
    <row r="28" spans="1:6">
      <c r="A28" s="29">
        <v>2003</v>
      </c>
      <c r="B28" s="208">
        <v>402</v>
      </c>
      <c r="C28" s="210">
        <v>1143</v>
      </c>
      <c r="D28" s="210">
        <v>1710</v>
      </c>
      <c r="E28" s="208">
        <v>623</v>
      </c>
      <c r="F28" s="30" t="s">
        <v>58</v>
      </c>
    </row>
    <row r="29" spans="1:6">
      <c r="A29" s="29">
        <v>2004</v>
      </c>
      <c r="B29" s="208">
        <v>444</v>
      </c>
      <c r="C29" s="210">
        <v>1202</v>
      </c>
      <c r="D29" s="210">
        <v>1834</v>
      </c>
      <c r="E29" s="208">
        <v>662</v>
      </c>
      <c r="F29" s="30" t="s">
        <v>58</v>
      </c>
    </row>
    <row r="30" spans="1:6">
      <c r="A30" s="29">
        <v>2005</v>
      </c>
      <c r="B30" s="208">
        <v>468</v>
      </c>
      <c r="C30" s="210">
        <v>1295</v>
      </c>
      <c r="D30" s="210">
        <v>1919</v>
      </c>
      <c r="E30" s="208">
        <v>693</v>
      </c>
      <c r="F30" s="30" t="s">
        <v>58</v>
      </c>
    </row>
    <row r="31" spans="1:6">
      <c r="A31" s="29">
        <v>2006</v>
      </c>
      <c r="B31" s="208">
        <v>500</v>
      </c>
      <c r="C31" s="210">
        <v>1365</v>
      </c>
      <c r="D31" s="210">
        <v>2008</v>
      </c>
      <c r="E31" s="208">
        <v>722</v>
      </c>
      <c r="F31" s="30" t="s">
        <v>58</v>
      </c>
    </row>
    <row r="32" spans="1:6">
      <c r="A32" s="29">
        <v>2007</v>
      </c>
      <c r="B32" s="208">
        <v>525</v>
      </c>
      <c r="C32" s="210">
        <v>1399</v>
      </c>
      <c r="D32" s="210">
        <v>2107</v>
      </c>
      <c r="E32" s="208">
        <v>742</v>
      </c>
      <c r="F32" s="30" t="s">
        <v>58</v>
      </c>
    </row>
    <row r="33" spans="1:6">
      <c r="A33" s="29">
        <v>2008</v>
      </c>
      <c r="B33" s="208">
        <v>575</v>
      </c>
      <c r="C33" s="210">
        <v>1478</v>
      </c>
      <c r="D33" s="210">
        <v>2251</v>
      </c>
      <c r="E33" s="208">
        <v>774</v>
      </c>
      <c r="F33" s="30" t="s">
        <v>58</v>
      </c>
    </row>
    <row r="34" spans="1:6">
      <c r="A34" s="29">
        <v>2009</v>
      </c>
      <c r="B34" s="208">
        <v>522</v>
      </c>
      <c r="C34" s="210">
        <v>1446</v>
      </c>
      <c r="D34" s="210">
        <v>2218</v>
      </c>
      <c r="E34" s="208">
        <v>798</v>
      </c>
      <c r="F34" s="30" t="s">
        <v>58</v>
      </c>
    </row>
    <row r="35" spans="1:6">
      <c r="A35" s="29">
        <v>2010</v>
      </c>
      <c r="B35" s="208">
        <v>551</v>
      </c>
      <c r="C35" s="210">
        <v>1477</v>
      </c>
      <c r="D35" s="210">
        <v>2338</v>
      </c>
      <c r="E35" s="208">
        <v>819</v>
      </c>
      <c r="F35" s="30" t="s">
        <v>58</v>
      </c>
    </row>
    <row r="36" spans="1:6">
      <c r="A36" s="29">
        <v>2011</v>
      </c>
      <c r="B36" s="208">
        <v>586</v>
      </c>
      <c r="C36" s="210">
        <v>1537</v>
      </c>
      <c r="D36" s="210">
        <v>2436</v>
      </c>
      <c r="E36" s="208">
        <v>844</v>
      </c>
      <c r="F36" s="30" t="s">
        <v>58</v>
      </c>
    </row>
    <row r="37" spans="1:6">
      <c r="A37" s="29">
        <v>2012</v>
      </c>
      <c r="B37" s="208">
        <v>585</v>
      </c>
      <c r="C37" s="208"/>
      <c r="D37" s="210">
        <v>2465</v>
      </c>
      <c r="E37" s="208">
        <v>867</v>
      </c>
      <c r="F37" s="30" t="s">
        <v>58</v>
      </c>
    </row>
    <row r="38" spans="1:6">
      <c r="A38" s="29">
        <v>2013</v>
      </c>
      <c r="B38" s="208">
        <v>567</v>
      </c>
      <c r="C38" s="208"/>
      <c r="D38" s="210">
        <v>2490</v>
      </c>
      <c r="E38" s="208">
        <v>889</v>
      </c>
      <c r="F38" s="30" t="s">
        <v>58</v>
      </c>
    </row>
    <row r="39" spans="1:6">
      <c r="A39" s="29">
        <v>2014</v>
      </c>
      <c r="B39" s="30">
        <v>576</v>
      </c>
      <c r="C39" s="30" t="s">
        <v>58</v>
      </c>
      <c r="D39" s="30" t="s">
        <v>58</v>
      </c>
      <c r="E39" s="30" t="s">
        <v>58</v>
      </c>
      <c r="F39" s="30" t="s">
        <v>58</v>
      </c>
    </row>
    <row r="40" spans="1:6">
      <c r="A40" s="29">
        <v>2015</v>
      </c>
      <c r="B40" s="30">
        <v>557</v>
      </c>
      <c r="C40" s="30" t="s">
        <v>58</v>
      </c>
      <c r="D40" s="30" t="s">
        <v>58</v>
      </c>
      <c r="E40" s="30" t="s">
        <v>58</v>
      </c>
      <c r="F40" s="30" t="s">
        <v>58</v>
      </c>
    </row>
    <row r="41" spans="1:6">
      <c r="A41" s="29">
        <v>2016</v>
      </c>
      <c r="B41" s="30">
        <v>542</v>
      </c>
      <c r="C41" s="30" t="s">
        <v>58</v>
      </c>
      <c r="D41" s="30" t="s">
        <v>58</v>
      </c>
      <c r="E41" s="30" t="s">
        <v>58</v>
      </c>
      <c r="F41">
        <v>647.70000000000005</v>
      </c>
    </row>
    <row r="42" spans="1:6">
      <c r="A42" s="29">
        <v>2017</v>
      </c>
      <c r="B42">
        <v>568</v>
      </c>
      <c r="C42" s="30" t="s">
        <v>58</v>
      </c>
      <c r="D42" s="30" t="s">
        <v>58</v>
      </c>
      <c r="E42" s="30" t="s">
        <v>58</v>
      </c>
      <c r="F42" s="30" t="s">
        <v>58</v>
      </c>
    </row>
    <row r="43" spans="1:6">
      <c r="A43">
        <v>2018</v>
      </c>
      <c r="B43" s="291">
        <f>B42*1.051</f>
        <v>596.96799999999996</v>
      </c>
      <c r="C43" s="291" t="s">
        <v>58</v>
      </c>
      <c r="D43" s="291" t="s">
        <v>58</v>
      </c>
      <c r="E43" s="291" t="s">
        <v>58</v>
      </c>
      <c r="F43" s="291" t="s">
        <v>58</v>
      </c>
    </row>
    <row r="44" spans="1:6">
      <c r="A44" s="291">
        <v>2019</v>
      </c>
      <c r="B44" s="291" t="s">
        <v>58</v>
      </c>
      <c r="C44" s="291" t="s">
        <v>58</v>
      </c>
      <c r="D44" s="291" t="s">
        <v>58</v>
      </c>
      <c r="E44" s="291" t="s">
        <v>58</v>
      </c>
      <c r="F44" s="291" t="s">
        <v>58</v>
      </c>
    </row>
    <row r="45" spans="1:6">
      <c r="A45" s="291">
        <v>2020</v>
      </c>
      <c r="B45" s="291" t="s">
        <v>58</v>
      </c>
      <c r="C45" s="291" t="s">
        <v>58</v>
      </c>
      <c r="D45" s="291" t="s">
        <v>58</v>
      </c>
      <c r="E45" s="291" t="s">
        <v>58</v>
      </c>
      <c r="F45" s="291" t="s">
        <v>58</v>
      </c>
    </row>
    <row r="46" spans="1:6">
      <c r="A46" s="291">
        <v>2021</v>
      </c>
      <c r="B46" s="291" t="s">
        <v>58</v>
      </c>
      <c r="C46" s="291" t="s">
        <v>58</v>
      </c>
      <c r="D46" s="291" t="s">
        <v>58</v>
      </c>
      <c r="E46" s="291" t="s">
        <v>58</v>
      </c>
      <c r="F46" s="291" t="s">
        <v>58</v>
      </c>
    </row>
    <row r="47" spans="1:6">
      <c r="A47" s="291">
        <v>2022</v>
      </c>
      <c r="B47" s="291" t="s">
        <v>58</v>
      </c>
      <c r="C47" s="291" t="s">
        <v>58</v>
      </c>
      <c r="D47" s="291" t="s">
        <v>58</v>
      </c>
      <c r="E47" s="291" t="s">
        <v>58</v>
      </c>
      <c r="F47" s="291" t="s">
        <v>58</v>
      </c>
    </row>
    <row r="48" spans="1:6">
      <c r="A48" s="291">
        <v>2023</v>
      </c>
      <c r="B48" s="291" t="s">
        <v>58</v>
      </c>
      <c r="C48" s="291" t="s">
        <v>58</v>
      </c>
      <c r="D48" s="291" t="s">
        <v>58</v>
      </c>
      <c r="E48" s="291" t="s">
        <v>58</v>
      </c>
      <c r="F48" s="291" t="s">
        <v>58</v>
      </c>
    </row>
    <row r="49" spans="1:6">
      <c r="A49" s="291">
        <v>2024</v>
      </c>
      <c r="B49" s="291" t="s">
        <v>58</v>
      </c>
      <c r="C49" s="291" t="s">
        <v>58</v>
      </c>
      <c r="D49" s="291" t="s">
        <v>58</v>
      </c>
      <c r="E49" s="291" t="s">
        <v>58</v>
      </c>
      <c r="F49" s="291" t="s">
        <v>58</v>
      </c>
    </row>
    <row r="50" spans="1:6">
      <c r="A50" s="291">
        <v>2025</v>
      </c>
      <c r="B50" s="291" t="s">
        <v>58</v>
      </c>
      <c r="C50" s="291" t="s">
        <v>58</v>
      </c>
      <c r="D50" s="291" t="s">
        <v>58</v>
      </c>
      <c r="E50" s="291" t="s">
        <v>58</v>
      </c>
      <c r="F50" s="291" t="s">
        <v>58</v>
      </c>
    </row>
    <row r="51" spans="1:6">
      <c r="A51" s="291">
        <v>2026</v>
      </c>
      <c r="B51" s="291" t="s">
        <v>58</v>
      </c>
      <c r="C51" s="291" t="s">
        <v>58</v>
      </c>
      <c r="D51" s="291" t="s">
        <v>58</v>
      </c>
      <c r="E51" s="291" t="s">
        <v>58</v>
      </c>
      <c r="F51" s="291" t="s">
        <v>58</v>
      </c>
    </row>
    <row r="52" spans="1:6">
      <c r="A52" s="291">
        <v>2027</v>
      </c>
      <c r="B52" s="291" t="s">
        <v>58</v>
      </c>
      <c r="C52" s="291" t="s">
        <v>58</v>
      </c>
      <c r="D52" s="291" t="s">
        <v>58</v>
      </c>
      <c r="E52" s="291" t="s">
        <v>58</v>
      </c>
      <c r="F52" s="291" t="s">
        <v>58</v>
      </c>
    </row>
    <row r="53" spans="1:6">
      <c r="A53" s="291">
        <v>2028</v>
      </c>
      <c r="B53" s="291" t="s">
        <v>58</v>
      </c>
      <c r="C53" s="291" t="s">
        <v>58</v>
      </c>
      <c r="D53" s="291" t="s">
        <v>58</v>
      </c>
      <c r="E53" s="291" t="s">
        <v>58</v>
      </c>
      <c r="F53" s="291" t="s">
        <v>58</v>
      </c>
    </row>
    <row r="54" spans="1:6">
      <c r="A54" s="291">
        <v>2029</v>
      </c>
      <c r="B54" s="291" t="s">
        <v>58</v>
      </c>
      <c r="C54" s="291" t="s">
        <v>58</v>
      </c>
      <c r="D54" s="291" t="s">
        <v>58</v>
      </c>
      <c r="E54" s="291" t="s">
        <v>58</v>
      </c>
      <c r="F54" s="291" t="s">
        <v>58</v>
      </c>
    </row>
    <row r="55" spans="1:6">
      <c r="A55" s="291">
        <v>2030</v>
      </c>
      <c r="B55" s="291" t="s">
        <v>58</v>
      </c>
      <c r="C55" s="291" t="s">
        <v>58</v>
      </c>
      <c r="D55" s="291" t="s">
        <v>58</v>
      </c>
      <c r="E55" s="291" t="s">
        <v>58</v>
      </c>
      <c r="F55" s="291" t="s">
        <v>58</v>
      </c>
    </row>
    <row r="56" spans="1:6">
      <c r="A56" s="291">
        <v>2031</v>
      </c>
      <c r="B56" s="291" t="s">
        <v>58</v>
      </c>
      <c r="C56" s="291" t="s">
        <v>58</v>
      </c>
      <c r="D56" s="291" t="s">
        <v>58</v>
      </c>
      <c r="E56" s="291" t="s">
        <v>58</v>
      </c>
      <c r="F56" s="291" t="s">
        <v>58</v>
      </c>
    </row>
    <row r="57" spans="1:6">
      <c r="A57" s="291">
        <v>2032</v>
      </c>
      <c r="B57" s="291" t="s">
        <v>58</v>
      </c>
      <c r="C57" s="291" t="s">
        <v>58</v>
      </c>
      <c r="D57" s="291" t="s">
        <v>58</v>
      </c>
      <c r="E57" s="291" t="s">
        <v>58</v>
      </c>
      <c r="F57" s="291" t="s">
        <v>58</v>
      </c>
    </row>
    <row r="58" spans="1:6">
      <c r="A58" s="291">
        <v>2033</v>
      </c>
      <c r="B58" s="291" t="s">
        <v>58</v>
      </c>
      <c r="C58" s="291" t="s">
        <v>58</v>
      </c>
      <c r="D58" s="291" t="s">
        <v>58</v>
      </c>
      <c r="E58" s="291" t="s">
        <v>58</v>
      </c>
      <c r="F58" s="291" t="s">
        <v>58</v>
      </c>
    </row>
    <row r="59" spans="1:6">
      <c r="A59" s="291">
        <v>2034</v>
      </c>
      <c r="B59" s="291" t="s">
        <v>58</v>
      </c>
      <c r="C59" s="291" t="s">
        <v>58</v>
      </c>
      <c r="D59" s="291" t="s">
        <v>58</v>
      </c>
      <c r="E59" s="291" t="s">
        <v>58</v>
      </c>
      <c r="F59" s="291" t="s">
        <v>58</v>
      </c>
    </row>
    <row r="60" spans="1:6">
      <c r="A60" s="291">
        <v>2035</v>
      </c>
      <c r="B60" s="291" t="s">
        <v>58</v>
      </c>
      <c r="C60" s="291" t="s">
        <v>58</v>
      </c>
      <c r="D60" s="291" t="s">
        <v>58</v>
      </c>
      <c r="E60" s="291" t="s">
        <v>58</v>
      </c>
      <c r="F60" s="291" t="s">
        <v>58</v>
      </c>
    </row>
    <row r="61" spans="1:6">
      <c r="A61" s="291">
        <v>2036</v>
      </c>
      <c r="B61" s="291" t="s">
        <v>58</v>
      </c>
      <c r="C61" s="291" t="s">
        <v>58</v>
      </c>
      <c r="D61" s="291" t="s">
        <v>58</v>
      </c>
      <c r="E61" s="291" t="s">
        <v>58</v>
      </c>
      <c r="F61" s="291" t="s">
        <v>58</v>
      </c>
    </row>
    <row r="62" spans="1:6">
      <c r="A62" s="291">
        <v>2037</v>
      </c>
      <c r="B62" s="291" t="s">
        <v>58</v>
      </c>
      <c r="C62" s="291" t="s">
        <v>58</v>
      </c>
      <c r="D62" s="291" t="s">
        <v>58</v>
      </c>
      <c r="E62" s="291" t="s">
        <v>58</v>
      </c>
      <c r="F62" s="291" t="s">
        <v>58</v>
      </c>
    </row>
    <row r="63" spans="1:6">
      <c r="A63" s="291">
        <v>2038</v>
      </c>
      <c r="B63" s="291" t="s">
        <v>58</v>
      </c>
      <c r="C63" s="291" t="s">
        <v>58</v>
      </c>
      <c r="D63" s="291" t="s">
        <v>58</v>
      </c>
      <c r="E63" s="291" t="s">
        <v>58</v>
      </c>
      <c r="F63" s="291" t="s">
        <v>58</v>
      </c>
    </row>
    <row r="64" spans="1:6">
      <c r="A64" s="291">
        <v>2039</v>
      </c>
      <c r="B64" s="291" t="s">
        <v>58</v>
      </c>
      <c r="C64" s="291" t="s">
        <v>58</v>
      </c>
      <c r="D64" s="291" t="s">
        <v>58</v>
      </c>
      <c r="E64" s="291" t="s">
        <v>58</v>
      </c>
      <c r="F64" s="291" t="s">
        <v>58</v>
      </c>
    </row>
    <row r="65" spans="1:6">
      <c r="A65" s="291">
        <v>2040</v>
      </c>
      <c r="B65" s="291" t="s">
        <v>58</v>
      </c>
      <c r="C65" s="291" t="s">
        <v>58</v>
      </c>
      <c r="D65" s="291" t="s">
        <v>58</v>
      </c>
      <c r="E65" s="291" t="s">
        <v>58</v>
      </c>
      <c r="F65" s="291" t="s">
        <v>58</v>
      </c>
    </row>
    <row r="66" spans="1:6">
      <c r="A66" s="291">
        <v>2041</v>
      </c>
      <c r="B66" s="291" t="s">
        <v>58</v>
      </c>
      <c r="C66" s="291" t="s">
        <v>58</v>
      </c>
      <c r="D66" s="291" t="s">
        <v>58</v>
      </c>
      <c r="E66" s="291" t="s">
        <v>58</v>
      </c>
      <c r="F66" s="291" t="s">
        <v>58</v>
      </c>
    </row>
    <row r="67" spans="1:6">
      <c r="A67" s="291">
        <v>2042</v>
      </c>
      <c r="B67" s="291" t="s">
        <v>58</v>
      </c>
      <c r="C67" s="291" t="s">
        <v>58</v>
      </c>
      <c r="D67" s="291" t="s">
        <v>58</v>
      </c>
      <c r="E67" s="291" t="s">
        <v>58</v>
      </c>
      <c r="F67" s="291" t="s">
        <v>58</v>
      </c>
    </row>
    <row r="68" spans="1:6">
      <c r="A68" s="291">
        <v>2043</v>
      </c>
      <c r="B68" s="291" t="s">
        <v>58</v>
      </c>
      <c r="C68" s="291" t="s">
        <v>58</v>
      </c>
      <c r="D68" s="291" t="s">
        <v>58</v>
      </c>
      <c r="E68" s="291" t="s">
        <v>58</v>
      </c>
      <c r="F68" s="291" t="s">
        <v>58</v>
      </c>
    </row>
    <row r="69" spans="1:6">
      <c r="A69" s="291">
        <v>2044</v>
      </c>
      <c r="B69" s="291" t="s">
        <v>58</v>
      </c>
      <c r="C69" s="291" t="s">
        <v>58</v>
      </c>
      <c r="D69" s="291" t="s">
        <v>58</v>
      </c>
      <c r="E69" s="291" t="s">
        <v>58</v>
      </c>
      <c r="F69" s="291" t="s">
        <v>58</v>
      </c>
    </row>
    <row r="70" spans="1:6">
      <c r="A70" s="291">
        <v>2045</v>
      </c>
      <c r="B70" s="291" t="s">
        <v>58</v>
      </c>
      <c r="C70" s="291" t="s">
        <v>58</v>
      </c>
      <c r="D70" s="291" t="s">
        <v>58</v>
      </c>
      <c r="E70" s="291" t="s">
        <v>58</v>
      </c>
      <c r="F70" s="291" t="s">
        <v>58</v>
      </c>
    </row>
    <row r="71" spans="1:6">
      <c r="A71" s="291">
        <v>2046</v>
      </c>
      <c r="B71" s="291" t="s">
        <v>58</v>
      </c>
      <c r="C71" s="291" t="s">
        <v>58</v>
      </c>
      <c r="D71" s="291" t="s">
        <v>58</v>
      </c>
      <c r="E71" s="291" t="s">
        <v>58</v>
      </c>
      <c r="F71" s="291" t="s">
        <v>58</v>
      </c>
    </row>
    <row r="72" spans="1:6">
      <c r="A72" s="291">
        <v>2047</v>
      </c>
      <c r="B72" s="291" t="s">
        <v>58</v>
      </c>
      <c r="C72" s="291" t="s">
        <v>58</v>
      </c>
      <c r="D72" s="291" t="s">
        <v>58</v>
      </c>
      <c r="E72" s="291" t="s">
        <v>58</v>
      </c>
      <c r="F72" s="291" t="s">
        <v>58</v>
      </c>
    </row>
    <row r="73" spans="1:6">
      <c r="A73" s="291">
        <v>2048</v>
      </c>
      <c r="B73" s="291" t="s">
        <v>58</v>
      </c>
      <c r="C73" s="291" t="s">
        <v>58</v>
      </c>
      <c r="D73" s="291" t="s">
        <v>58</v>
      </c>
      <c r="E73" s="291" t="s">
        <v>58</v>
      </c>
      <c r="F73" s="291" t="s">
        <v>58</v>
      </c>
    </row>
    <row r="74" spans="1:6">
      <c r="A74" s="291">
        <v>2049</v>
      </c>
      <c r="B74" s="291" t="s">
        <v>58</v>
      </c>
      <c r="C74" s="291" t="s">
        <v>58</v>
      </c>
      <c r="D74" s="291" t="s">
        <v>58</v>
      </c>
      <c r="E74" s="291" t="s">
        <v>58</v>
      </c>
      <c r="F74" s="291" t="s">
        <v>58</v>
      </c>
    </row>
    <row r="75" spans="1:6">
      <c r="A75" s="291">
        <v>2050</v>
      </c>
      <c r="B75" s="291" t="s">
        <v>58</v>
      </c>
      <c r="C75" s="291" t="s">
        <v>58</v>
      </c>
      <c r="D75" s="291" t="s">
        <v>58</v>
      </c>
      <c r="E75" s="291" t="s">
        <v>58</v>
      </c>
      <c r="F75" s="291" t="s">
        <v>58</v>
      </c>
    </row>
    <row r="76" spans="1:6">
      <c r="A76" s="291">
        <v>2051</v>
      </c>
      <c r="B76" s="291" t="s">
        <v>58</v>
      </c>
      <c r="C76" s="291" t="s">
        <v>58</v>
      </c>
      <c r="D76" s="291" t="s">
        <v>58</v>
      </c>
      <c r="E76" s="291" t="s">
        <v>58</v>
      </c>
      <c r="F76" s="291" t="s">
        <v>58</v>
      </c>
    </row>
    <row r="77" spans="1:6">
      <c r="A77" s="291">
        <v>2052</v>
      </c>
      <c r="B77" s="291" t="s">
        <v>58</v>
      </c>
      <c r="C77" s="291" t="s">
        <v>58</v>
      </c>
      <c r="D77" s="291" t="s">
        <v>58</v>
      </c>
      <c r="E77" s="291" t="s">
        <v>58</v>
      </c>
      <c r="F77" s="291" t="s">
        <v>58</v>
      </c>
    </row>
    <row r="78" spans="1:6">
      <c r="A78" s="291">
        <v>2053</v>
      </c>
      <c r="B78" s="291" t="s">
        <v>58</v>
      </c>
      <c r="C78" s="291" t="s">
        <v>58</v>
      </c>
      <c r="D78" s="291" t="s">
        <v>58</v>
      </c>
      <c r="E78" s="291" t="s">
        <v>58</v>
      </c>
      <c r="F78" s="291" t="s">
        <v>58</v>
      </c>
    </row>
    <row r="79" spans="1:6">
      <c r="A79" s="291">
        <v>2054</v>
      </c>
      <c r="B79" s="291" t="s">
        <v>58</v>
      </c>
      <c r="C79" s="291" t="s">
        <v>58</v>
      </c>
      <c r="D79" s="291" t="s">
        <v>58</v>
      </c>
      <c r="E79" s="291" t="s">
        <v>58</v>
      </c>
      <c r="F79" s="291" t="s">
        <v>58</v>
      </c>
    </row>
    <row r="80" spans="1:6">
      <c r="A80" s="291">
        <v>2055</v>
      </c>
      <c r="B80" s="291" t="s">
        <v>58</v>
      </c>
      <c r="C80" s="291" t="s">
        <v>58</v>
      </c>
      <c r="D80" s="291" t="s">
        <v>58</v>
      </c>
      <c r="E80" s="291" t="s">
        <v>58</v>
      </c>
      <c r="F80" s="291" t="s">
        <v>58</v>
      </c>
    </row>
    <row r="81" spans="1:6">
      <c r="A81" s="292">
        <v>2056</v>
      </c>
      <c r="B81" s="292" t="s">
        <v>58</v>
      </c>
      <c r="C81" s="292" t="s">
        <v>58</v>
      </c>
      <c r="D81" s="292" t="s">
        <v>58</v>
      </c>
      <c r="E81" s="292" t="s">
        <v>58</v>
      </c>
      <c r="F81" s="292" t="s">
        <v>58</v>
      </c>
    </row>
    <row r="82" spans="1:6">
      <c r="A82" s="292">
        <v>2057</v>
      </c>
      <c r="B82" s="292" t="s">
        <v>58</v>
      </c>
      <c r="C82" s="292" t="s">
        <v>58</v>
      </c>
      <c r="D82" s="292" t="s">
        <v>58</v>
      </c>
      <c r="E82" s="292" t="s">
        <v>58</v>
      </c>
      <c r="F82" s="292" t="s">
        <v>58</v>
      </c>
    </row>
    <row r="83" spans="1:6">
      <c r="A83" s="292">
        <v>2058</v>
      </c>
      <c r="B83" s="292" t="s">
        <v>58</v>
      </c>
      <c r="C83" s="292" t="s">
        <v>58</v>
      </c>
      <c r="D83" s="292" t="s">
        <v>58</v>
      </c>
      <c r="E83" s="292" t="s">
        <v>58</v>
      </c>
      <c r="F83" s="292" t="s">
        <v>58</v>
      </c>
    </row>
    <row r="84" spans="1:6">
      <c r="A84" s="292">
        <v>2059</v>
      </c>
      <c r="B84" s="292" t="s">
        <v>58</v>
      </c>
      <c r="C84" s="292" t="s">
        <v>58</v>
      </c>
      <c r="D84" s="292" t="s">
        <v>58</v>
      </c>
      <c r="E84" s="292" t="s">
        <v>58</v>
      </c>
      <c r="F84" s="292" t="s">
        <v>58</v>
      </c>
    </row>
    <row r="85" spans="1:6">
      <c r="A85" s="292">
        <v>2060</v>
      </c>
      <c r="B85" s="292" t="s">
        <v>58</v>
      </c>
      <c r="C85" s="292" t="s">
        <v>58</v>
      </c>
      <c r="D85" s="292" t="s">
        <v>58</v>
      </c>
      <c r="E85" s="292" t="s">
        <v>58</v>
      </c>
      <c r="F85" s="292" t="s">
        <v>58</v>
      </c>
    </row>
    <row r="86" spans="1:6">
      <c r="A86" s="292">
        <v>2061</v>
      </c>
      <c r="B86" s="292" t="s">
        <v>58</v>
      </c>
      <c r="C86" s="292" t="s">
        <v>58</v>
      </c>
      <c r="D86" s="292" t="s">
        <v>58</v>
      </c>
      <c r="E86" s="292" t="s">
        <v>58</v>
      </c>
      <c r="F86" s="292" t="s">
        <v>58</v>
      </c>
    </row>
    <row r="87" spans="1:6">
      <c r="A87" s="292">
        <v>2062</v>
      </c>
      <c r="B87" s="292" t="s">
        <v>58</v>
      </c>
      <c r="C87" s="292" t="s">
        <v>58</v>
      </c>
      <c r="D87" s="292" t="s">
        <v>58</v>
      </c>
      <c r="E87" s="292" t="s">
        <v>58</v>
      </c>
      <c r="F87" s="292" t="s">
        <v>58</v>
      </c>
    </row>
    <row r="88" spans="1:6">
      <c r="A88" s="292">
        <v>2063</v>
      </c>
      <c r="B88" s="292" t="s">
        <v>58</v>
      </c>
      <c r="C88" s="292" t="s">
        <v>58</v>
      </c>
      <c r="D88" s="292" t="s">
        <v>58</v>
      </c>
      <c r="E88" s="292" t="s">
        <v>58</v>
      </c>
      <c r="F88" s="292" t="s">
        <v>58</v>
      </c>
    </row>
    <row r="89" spans="1:6">
      <c r="A89" s="292">
        <v>2064</v>
      </c>
      <c r="B89" s="292" t="s">
        <v>58</v>
      </c>
      <c r="C89" s="292" t="s">
        <v>58</v>
      </c>
      <c r="D89" s="292" t="s">
        <v>58</v>
      </c>
      <c r="E89" s="292" t="s">
        <v>58</v>
      </c>
      <c r="F89" s="292" t="s">
        <v>58</v>
      </c>
    </row>
    <row r="90" spans="1:6">
      <c r="A90" s="292">
        <v>2065</v>
      </c>
      <c r="B90" s="292" t="s">
        <v>58</v>
      </c>
      <c r="C90" s="292" t="s">
        <v>58</v>
      </c>
      <c r="D90" s="292" t="s">
        <v>58</v>
      </c>
      <c r="E90" s="292" t="s">
        <v>58</v>
      </c>
      <c r="F90" s="292" t="s">
        <v>58</v>
      </c>
    </row>
    <row r="91" spans="1:6">
      <c r="A91" s="292">
        <v>2066</v>
      </c>
      <c r="B91" s="292" t="s">
        <v>58</v>
      </c>
      <c r="C91" s="292" t="s">
        <v>58</v>
      </c>
      <c r="D91" s="292" t="s">
        <v>58</v>
      </c>
      <c r="E91" s="292" t="s">
        <v>58</v>
      </c>
      <c r="F91" s="292" t="s">
        <v>58</v>
      </c>
    </row>
    <row r="92" spans="1:6">
      <c r="A92" s="292">
        <v>2067</v>
      </c>
      <c r="B92" s="292" t="s">
        <v>58</v>
      </c>
      <c r="C92" s="292" t="s">
        <v>58</v>
      </c>
      <c r="D92" s="292" t="s">
        <v>58</v>
      </c>
      <c r="E92" s="292" t="s">
        <v>58</v>
      </c>
      <c r="F92" s="292" t="s">
        <v>58</v>
      </c>
    </row>
    <row r="93" spans="1:6">
      <c r="A93" s="292">
        <v>2068</v>
      </c>
      <c r="B93" s="292" t="s">
        <v>58</v>
      </c>
      <c r="C93" s="292" t="s">
        <v>58</v>
      </c>
      <c r="D93" s="292" t="s">
        <v>58</v>
      </c>
      <c r="E93" s="292" t="s">
        <v>58</v>
      </c>
      <c r="F93" s="292" t="s">
        <v>58</v>
      </c>
    </row>
    <row r="94" spans="1:6">
      <c r="A94" s="292">
        <v>2069</v>
      </c>
      <c r="B94" s="292" t="s">
        <v>58</v>
      </c>
      <c r="C94" s="292" t="s">
        <v>58</v>
      </c>
      <c r="D94" s="292" t="s">
        <v>58</v>
      </c>
      <c r="E94" s="292" t="s">
        <v>58</v>
      </c>
      <c r="F94" s="292" t="s">
        <v>58</v>
      </c>
    </row>
    <row r="95" spans="1:6">
      <c r="A95" s="292">
        <v>2070</v>
      </c>
      <c r="B95" s="292" t="s">
        <v>58</v>
      </c>
      <c r="C95" s="292" t="s">
        <v>58</v>
      </c>
      <c r="D95" s="292" t="s">
        <v>58</v>
      </c>
      <c r="E95" s="292" t="s">
        <v>58</v>
      </c>
      <c r="F95" s="292" t="s">
        <v>58</v>
      </c>
    </row>
    <row r="96" spans="1:6">
      <c r="A96" s="292">
        <v>2071</v>
      </c>
      <c r="B96" s="292" t="s">
        <v>58</v>
      </c>
      <c r="C96" s="292" t="s">
        <v>58</v>
      </c>
      <c r="D96" s="292" t="s">
        <v>58</v>
      </c>
      <c r="E96" s="292" t="s">
        <v>58</v>
      </c>
      <c r="F96" s="292" t="s">
        <v>58</v>
      </c>
    </row>
    <row r="97" spans="1:6">
      <c r="A97" s="292">
        <v>2072</v>
      </c>
      <c r="B97" s="292" t="s">
        <v>58</v>
      </c>
      <c r="C97" s="292" t="s">
        <v>58</v>
      </c>
      <c r="D97" s="292" t="s">
        <v>58</v>
      </c>
      <c r="E97" s="292" t="s">
        <v>58</v>
      </c>
      <c r="F97" s="292" t="s">
        <v>58</v>
      </c>
    </row>
    <row r="98" spans="1:6">
      <c r="A98" s="292">
        <v>2073</v>
      </c>
      <c r="B98" s="292" t="s">
        <v>58</v>
      </c>
      <c r="C98" s="292" t="s">
        <v>58</v>
      </c>
      <c r="D98" s="292" t="s">
        <v>58</v>
      </c>
      <c r="E98" s="292" t="s">
        <v>58</v>
      </c>
      <c r="F98" s="292" t="s">
        <v>58</v>
      </c>
    </row>
    <row r="99" spans="1:6">
      <c r="A99" s="292">
        <v>2074</v>
      </c>
      <c r="B99" s="292" t="s">
        <v>58</v>
      </c>
      <c r="C99" s="292" t="s">
        <v>58</v>
      </c>
      <c r="D99" s="292" t="s">
        <v>58</v>
      </c>
      <c r="E99" s="292" t="s">
        <v>58</v>
      </c>
      <c r="F99" s="292" t="s">
        <v>58</v>
      </c>
    </row>
    <row r="100" spans="1:6">
      <c r="A100" s="292">
        <v>2075</v>
      </c>
      <c r="B100" s="292" t="s">
        <v>58</v>
      </c>
      <c r="C100" s="292" t="s">
        <v>58</v>
      </c>
      <c r="D100" s="292" t="s">
        <v>58</v>
      </c>
      <c r="E100" s="292" t="s">
        <v>58</v>
      </c>
      <c r="F100" s="292" t="s">
        <v>58</v>
      </c>
    </row>
    <row r="101" spans="1:6">
      <c r="A101" s="292">
        <v>2076</v>
      </c>
      <c r="B101" s="292" t="s">
        <v>58</v>
      </c>
      <c r="C101" s="292" t="s">
        <v>58</v>
      </c>
      <c r="D101" s="292" t="s">
        <v>58</v>
      </c>
      <c r="E101" s="292" t="s">
        <v>58</v>
      </c>
      <c r="F101" s="292" t="s">
        <v>58</v>
      </c>
    </row>
    <row r="102" spans="1:6">
      <c r="A102" s="292">
        <v>2077</v>
      </c>
      <c r="B102" s="292" t="s">
        <v>58</v>
      </c>
      <c r="C102" s="292" t="s">
        <v>58</v>
      </c>
      <c r="D102" s="292" t="s">
        <v>58</v>
      </c>
      <c r="E102" s="292" t="s">
        <v>58</v>
      </c>
      <c r="F102" s="292" t="s">
        <v>58</v>
      </c>
    </row>
    <row r="103" spans="1:6">
      <c r="A103" s="292">
        <v>2078</v>
      </c>
      <c r="B103" s="292" t="s">
        <v>58</v>
      </c>
      <c r="C103" s="292" t="s">
        <v>58</v>
      </c>
      <c r="D103" s="292" t="s">
        <v>58</v>
      </c>
      <c r="E103" s="292" t="s">
        <v>58</v>
      </c>
      <c r="F103" s="292" t="s">
        <v>58</v>
      </c>
    </row>
    <row r="104" spans="1:6">
      <c r="A104" s="292">
        <v>2079</v>
      </c>
      <c r="B104" s="292" t="s">
        <v>58</v>
      </c>
      <c r="C104" s="292" t="s">
        <v>58</v>
      </c>
      <c r="D104" s="292" t="s">
        <v>58</v>
      </c>
      <c r="E104" s="292" t="s">
        <v>58</v>
      </c>
      <c r="F104" s="292" t="s">
        <v>58</v>
      </c>
    </row>
    <row r="105" spans="1:6">
      <c r="A105" s="292">
        <v>2080</v>
      </c>
      <c r="B105" s="292" t="s">
        <v>58</v>
      </c>
      <c r="C105" s="292" t="s">
        <v>58</v>
      </c>
      <c r="D105" s="292" t="s">
        <v>58</v>
      </c>
      <c r="E105" s="292" t="s">
        <v>58</v>
      </c>
      <c r="F105" s="292" t="s">
        <v>58</v>
      </c>
    </row>
    <row r="106" spans="1:6">
      <c r="A106" s="292">
        <v>2081</v>
      </c>
      <c r="B106" s="292" t="s">
        <v>58</v>
      </c>
      <c r="C106" s="292" t="s">
        <v>58</v>
      </c>
      <c r="D106" s="292" t="s">
        <v>58</v>
      </c>
      <c r="E106" s="292" t="s">
        <v>58</v>
      </c>
      <c r="F106" s="292" t="s">
        <v>58</v>
      </c>
    </row>
    <row r="107" spans="1:6">
      <c r="A107" s="292">
        <v>2082</v>
      </c>
      <c r="B107" s="292" t="s">
        <v>58</v>
      </c>
      <c r="C107" s="292" t="s">
        <v>58</v>
      </c>
      <c r="D107" s="292" t="s">
        <v>58</v>
      </c>
      <c r="E107" s="292" t="s">
        <v>58</v>
      </c>
      <c r="F107" s="292" t="s">
        <v>58</v>
      </c>
    </row>
    <row r="108" spans="1:6">
      <c r="A108" s="292">
        <v>2083</v>
      </c>
      <c r="B108" s="292" t="s">
        <v>58</v>
      </c>
      <c r="C108" s="292" t="s">
        <v>58</v>
      </c>
      <c r="D108" s="292" t="s">
        <v>58</v>
      </c>
      <c r="E108" s="292" t="s">
        <v>58</v>
      </c>
      <c r="F108" s="292" t="s">
        <v>58</v>
      </c>
    </row>
    <row r="109" spans="1:6">
      <c r="A109" s="292">
        <v>2084</v>
      </c>
      <c r="B109" s="292" t="s">
        <v>58</v>
      </c>
      <c r="C109" s="292" t="s">
        <v>58</v>
      </c>
      <c r="D109" s="292" t="s">
        <v>58</v>
      </c>
      <c r="E109" s="292" t="s">
        <v>58</v>
      </c>
      <c r="F109" s="292" t="s">
        <v>58</v>
      </c>
    </row>
    <row r="110" spans="1:6">
      <c r="A110" s="292">
        <v>2085</v>
      </c>
      <c r="B110" s="292" t="s">
        <v>58</v>
      </c>
      <c r="C110" s="292" t="s">
        <v>58</v>
      </c>
      <c r="D110" s="292" t="s">
        <v>58</v>
      </c>
      <c r="E110" s="292" t="s">
        <v>58</v>
      </c>
      <c r="F110" s="292" t="s">
        <v>58</v>
      </c>
    </row>
    <row r="111" spans="1:6">
      <c r="A111" s="292">
        <v>2086</v>
      </c>
      <c r="B111" s="292" t="s">
        <v>58</v>
      </c>
      <c r="C111" s="292" t="s">
        <v>58</v>
      </c>
      <c r="D111" s="292" t="s">
        <v>58</v>
      </c>
      <c r="E111" s="292" t="s">
        <v>58</v>
      </c>
      <c r="F111" s="292" t="s">
        <v>58</v>
      </c>
    </row>
    <row r="112" spans="1:6">
      <c r="A112" s="292">
        <v>2087</v>
      </c>
      <c r="B112" s="292" t="s">
        <v>58</v>
      </c>
      <c r="C112" s="292" t="s">
        <v>58</v>
      </c>
      <c r="D112" s="292" t="s">
        <v>58</v>
      </c>
      <c r="E112" s="292" t="s">
        <v>58</v>
      </c>
      <c r="F112" s="292" t="s">
        <v>58</v>
      </c>
    </row>
    <row r="113" spans="1:6">
      <c r="A113" s="292">
        <v>2088</v>
      </c>
      <c r="B113" s="292" t="s">
        <v>58</v>
      </c>
      <c r="C113" s="292" t="s">
        <v>58</v>
      </c>
      <c r="D113" s="292" t="s">
        <v>58</v>
      </c>
      <c r="E113" s="292" t="s">
        <v>58</v>
      </c>
      <c r="F113" s="292" t="s">
        <v>58</v>
      </c>
    </row>
    <row r="114" spans="1:6">
      <c r="A114" s="292">
        <v>2089</v>
      </c>
      <c r="B114" s="292" t="s">
        <v>58</v>
      </c>
      <c r="C114" s="292" t="s">
        <v>58</v>
      </c>
      <c r="D114" s="292" t="s">
        <v>58</v>
      </c>
      <c r="E114" s="292" t="s">
        <v>58</v>
      </c>
      <c r="F114" s="292" t="s">
        <v>58</v>
      </c>
    </row>
    <row r="115" spans="1:6">
      <c r="A115" s="292">
        <v>2090</v>
      </c>
      <c r="B115" s="292" t="s">
        <v>58</v>
      </c>
      <c r="C115" s="292" t="s">
        <v>58</v>
      </c>
      <c r="D115" s="292" t="s">
        <v>58</v>
      </c>
      <c r="E115" s="292" t="s">
        <v>58</v>
      </c>
      <c r="F115" s="292" t="s">
        <v>58</v>
      </c>
    </row>
    <row r="116" spans="1:6">
      <c r="A116" s="292">
        <v>2091</v>
      </c>
      <c r="B116" s="292" t="s">
        <v>58</v>
      </c>
      <c r="C116" s="292" t="s">
        <v>58</v>
      </c>
      <c r="D116" s="292" t="s">
        <v>58</v>
      </c>
      <c r="E116" s="292" t="s">
        <v>58</v>
      </c>
      <c r="F116" s="292" t="s">
        <v>58</v>
      </c>
    </row>
    <row r="117" spans="1:6">
      <c r="A117" s="292">
        <v>2092</v>
      </c>
      <c r="B117" s="292" t="s">
        <v>58</v>
      </c>
      <c r="C117" s="292" t="s">
        <v>58</v>
      </c>
      <c r="D117" s="292" t="s">
        <v>58</v>
      </c>
      <c r="E117" s="292" t="s">
        <v>58</v>
      </c>
      <c r="F117" s="292" t="s">
        <v>58</v>
      </c>
    </row>
    <row r="118" spans="1:6">
      <c r="A118" s="292">
        <v>2093</v>
      </c>
      <c r="B118" s="292" t="s">
        <v>58</v>
      </c>
      <c r="C118" s="292" t="s">
        <v>58</v>
      </c>
      <c r="D118" s="292" t="s">
        <v>58</v>
      </c>
      <c r="E118" s="292" t="s">
        <v>58</v>
      </c>
      <c r="F118" s="292" t="s">
        <v>58</v>
      </c>
    </row>
    <row r="119" spans="1:6">
      <c r="A119" s="292">
        <v>2094</v>
      </c>
      <c r="B119" s="292" t="s">
        <v>58</v>
      </c>
      <c r="C119" s="292" t="s">
        <v>58</v>
      </c>
      <c r="D119" s="292" t="s">
        <v>58</v>
      </c>
      <c r="E119" s="292" t="s">
        <v>58</v>
      </c>
      <c r="F119" s="292" t="s">
        <v>58</v>
      </c>
    </row>
    <row r="120" spans="1:6">
      <c r="A120" s="292">
        <v>2095</v>
      </c>
      <c r="B120" s="292" t="s">
        <v>58</v>
      </c>
      <c r="C120" s="292" t="s">
        <v>58</v>
      </c>
      <c r="D120" s="292" t="s">
        <v>58</v>
      </c>
      <c r="E120" s="292" t="s">
        <v>58</v>
      </c>
      <c r="F120" s="292" t="s">
        <v>58</v>
      </c>
    </row>
    <row r="121" spans="1:6">
      <c r="A121" s="292">
        <v>2096</v>
      </c>
      <c r="B121" s="292" t="s">
        <v>58</v>
      </c>
      <c r="C121" s="292" t="s">
        <v>58</v>
      </c>
      <c r="D121" s="292" t="s">
        <v>58</v>
      </c>
      <c r="E121" s="292" t="s">
        <v>58</v>
      </c>
      <c r="F121" s="292" t="s">
        <v>58</v>
      </c>
    </row>
    <row r="122" spans="1:6">
      <c r="A122" s="292">
        <v>2097</v>
      </c>
      <c r="B122" s="292" t="s">
        <v>58</v>
      </c>
      <c r="C122" s="292" t="s">
        <v>58</v>
      </c>
      <c r="D122" s="292" t="s">
        <v>58</v>
      </c>
      <c r="E122" s="292" t="s">
        <v>58</v>
      </c>
      <c r="F122" s="292" t="s">
        <v>58</v>
      </c>
    </row>
    <row r="123" spans="1:6">
      <c r="A123" s="292">
        <v>2098</v>
      </c>
      <c r="B123" s="292" t="s">
        <v>58</v>
      </c>
      <c r="C123" s="292" t="s">
        <v>58</v>
      </c>
      <c r="D123" s="292" t="s">
        <v>58</v>
      </c>
      <c r="E123" s="292" t="s">
        <v>58</v>
      </c>
      <c r="F123" s="292" t="s">
        <v>58</v>
      </c>
    </row>
    <row r="124" spans="1:6">
      <c r="A124" s="292">
        <v>2099</v>
      </c>
      <c r="B124" s="292" t="s">
        <v>58</v>
      </c>
      <c r="C124" s="292" t="s">
        <v>58</v>
      </c>
      <c r="D124" s="292" t="s">
        <v>58</v>
      </c>
      <c r="E124" s="292" t="s">
        <v>58</v>
      </c>
      <c r="F124" s="292" t="s">
        <v>58</v>
      </c>
    </row>
    <row r="125" spans="1:6">
      <c r="A125" s="292">
        <v>2100</v>
      </c>
      <c r="B125" s="292" t="s">
        <v>58</v>
      </c>
      <c r="C125" s="292" t="s">
        <v>58</v>
      </c>
      <c r="D125" s="292" t="s">
        <v>58</v>
      </c>
      <c r="E125" s="292" t="s">
        <v>58</v>
      </c>
      <c r="F125" s="292" t="s">
        <v>58</v>
      </c>
    </row>
    <row r="126" spans="1:6">
      <c r="A126" s="292">
        <v>2101</v>
      </c>
      <c r="B126" s="292" t="s">
        <v>58</v>
      </c>
      <c r="C126" s="292" t="s">
        <v>58</v>
      </c>
      <c r="D126" s="292" t="s">
        <v>58</v>
      </c>
      <c r="E126" s="292" t="s">
        <v>58</v>
      </c>
      <c r="F126" s="292" t="s">
        <v>58</v>
      </c>
    </row>
    <row r="127" spans="1:6">
      <c r="A127" s="292">
        <v>2102</v>
      </c>
      <c r="B127" s="292" t="s">
        <v>58</v>
      </c>
      <c r="C127" s="292" t="s">
        <v>58</v>
      </c>
      <c r="D127" s="292" t="s">
        <v>58</v>
      </c>
      <c r="E127" s="292" t="s">
        <v>58</v>
      </c>
      <c r="F127" s="292" t="s">
        <v>58</v>
      </c>
    </row>
    <row r="128" spans="1:6">
      <c r="A128" s="292">
        <v>2103</v>
      </c>
      <c r="B128" s="292" t="s">
        <v>58</v>
      </c>
      <c r="C128" s="292" t="s">
        <v>58</v>
      </c>
      <c r="D128" s="292" t="s">
        <v>58</v>
      </c>
      <c r="E128" s="292" t="s">
        <v>58</v>
      </c>
      <c r="F128" s="292" t="s">
        <v>58</v>
      </c>
    </row>
    <row r="129" spans="1:6">
      <c r="A129" s="292">
        <v>2104</v>
      </c>
      <c r="B129" s="292" t="s">
        <v>58</v>
      </c>
      <c r="C129" s="292" t="s">
        <v>58</v>
      </c>
      <c r="D129" s="292" t="s">
        <v>58</v>
      </c>
      <c r="E129" s="292" t="s">
        <v>58</v>
      </c>
      <c r="F129" s="292" t="s">
        <v>58</v>
      </c>
    </row>
    <row r="130" spans="1:6">
      <c r="A130" s="292">
        <v>2105</v>
      </c>
      <c r="B130" s="292" t="s">
        <v>58</v>
      </c>
      <c r="C130" s="292" t="s">
        <v>58</v>
      </c>
      <c r="D130" s="292" t="s">
        <v>58</v>
      </c>
      <c r="E130" s="292" t="s">
        <v>58</v>
      </c>
      <c r="F130" s="292" t="s">
        <v>58</v>
      </c>
    </row>
    <row r="131" spans="1:6">
      <c r="A131" s="292">
        <v>2106</v>
      </c>
      <c r="B131" s="292" t="s">
        <v>58</v>
      </c>
      <c r="C131" s="292" t="s">
        <v>58</v>
      </c>
      <c r="D131" s="292" t="s">
        <v>58</v>
      </c>
      <c r="E131" s="292" t="s">
        <v>58</v>
      </c>
      <c r="F131" s="292" t="s">
        <v>58</v>
      </c>
    </row>
    <row r="132" spans="1:6">
      <c r="A132" s="292">
        <v>2107</v>
      </c>
      <c r="B132" s="292" t="s">
        <v>58</v>
      </c>
      <c r="C132" s="292" t="s">
        <v>58</v>
      </c>
      <c r="D132" s="292" t="s">
        <v>58</v>
      </c>
      <c r="E132" s="292" t="s">
        <v>58</v>
      </c>
      <c r="F132" s="292" t="s">
        <v>58</v>
      </c>
    </row>
    <row r="133" spans="1:6">
      <c r="A133" s="292">
        <v>2108</v>
      </c>
      <c r="B133" s="292" t="s">
        <v>58</v>
      </c>
      <c r="C133" s="292" t="s">
        <v>58</v>
      </c>
      <c r="D133" s="292" t="s">
        <v>58</v>
      </c>
      <c r="E133" s="292" t="s">
        <v>58</v>
      </c>
      <c r="F133" s="292" t="s">
        <v>58</v>
      </c>
    </row>
    <row r="134" spans="1:6">
      <c r="A134" s="292">
        <v>2109</v>
      </c>
      <c r="B134" s="292" t="s">
        <v>58</v>
      </c>
      <c r="C134" s="292" t="s">
        <v>58</v>
      </c>
      <c r="D134" s="292" t="s">
        <v>58</v>
      </c>
      <c r="E134" s="292" t="s">
        <v>58</v>
      </c>
      <c r="F134" s="292" t="s">
        <v>58</v>
      </c>
    </row>
    <row r="135" spans="1:6">
      <c r="A135" s="292">
        <v>2110</v>
      </c>
      <c r="B135" s="292" t="s">
        <v>58</v>
      </c>
      <c r="C135" s="292" t="s">
        <v>58</v>
      </c>
      <c r="D135" s="292" t="s">
        <v>58</v>
      </c>
      <c r="E135" s="292" t="s">
        <v>58</v>
      </c>
      <c r="F135" s="292" t="s">
        <v>58</v>
      </c>
    </row>
    <row r="136" spans="1:6">
      <c r="A136" s="292">
        <v>2111</v>
      </c>
      <c r="B136" s="292" t="s">
        <v>58</v>
      </c>
      <c r="C136" s="292" t="s">
        <v>58</v>
      </c>
      <c r="D136" s="292" t="s">
        <v>58</v>
      </c>
      <c r="E136" s="292" t="s">
        <v>58</v>
      </c>
      <c r="F136" s="292" t="s">
        <v>58</v>
      </c>
    </row>
    <row r="137" spans="1:6">
      <c r="A137" s="292">
        <v>2112</v>
      </c>
      <c r="B137" s="292" t="s">
        <v>58</v>
      </c>
      <c r="C137" s="292" t="s">
        <v>58</v>
      </c>
      <c r="D137" s="292" t="s">
        <v>58</v>
      </c>
      <c r="E137" s="292" t="s">
        <v>58</v>
      </c>
      <c r="F137" s="292" t="s">
        <v>58</v>
      </c>
    </row>
    <row r="138" spans="1:6">
      <c r="A138" s="292">
        <v>2113</v>
      </c>
      <c r="B138" s="292" t="s">
        <v>58</v>
      </c>
      <c r="C138" s="292" t="s">
        <v>58</v>
      </c>
      <c r="D138" s="292" t="s">
        <v>58</v>
      </c>
      <c r="E138" s="292" t="s">
        <v>58</v>
      </c>
      <c r="F138" s="292" t="s">
        <v>58</v>
      </c>
    </row>
    <row r="139" spans="1:6">
      <c r="A139" s="292">
        <v>2114</v>
      </c>
      <c r="B139" s="292" t="s">
        <v>58</v>
      </c>
      <c r="C139" s="292" t="s">
        <v>58</v>
      </c>
      <c r="D139" s="292" t="s">
        <v>58</v>
      </c>
      <c r="E139" s="292" t="s">
        <v>58</v>
      </c>
      <c r="F139" s="292" t="s">
        <v>58</v>
      </c>
    </row>
    <row r="140" spans="1:6">
      <c r="A140" s="292">
        <v>2115</v>
      </c>
      <c r="B140" s="292" t="s">
        <v>58</v>
      </c>
      <c r="C140" s="292" t="s">
        <v>58</v>
      </c>
      <c r="D140" s="292" t="s">
        <v>58</v>
      </c>
      <c r="E140" s="292" t="s">
        <v>58</v>
      </c>
      <c r="F140" s="292" t="s">
        <v>58</v>
      </c>
    </row>
    <row r="141" spans="1:6">
      <c r="A141" s="292">
        <v>2116</v>
      </c>
      <c r="B141" s="292" t="s">
        <v>58</v>
      </c>
      <c r="C141" s="292" t="s">
        <v>58</v>
      </c>
      <c r="D141" s="292" t="s">
        <v>58</v>
      </c>
      <c r="E141" s="292" t="s">
        <v>58</v>
      </c>
      <c r="F141" s="292" t="s">
        <v>58</v>
      </c>
    </row>
    <row r="142" spans="1:6">
      <c r="A142" s="292">
        <v>2117</v>
      </c>
      <c r="B142" s="292" t="s">
        <v>58</v>
      </c>
      <c r="C142" s="292" t="s">
        <v>58</v>
      </c>
      <c r="D142" s="292" t="s">
        <v>58</v>
      </c>
      <c r="E142" s="292" t="s">
        <v>58</v>
      </c>
      <c r="F142" s="292" t="s">
        <v>58</v>
      </c>
    </row>
    <row r="143" spans="1:6">
      <c r="A143" s="292">
        <v>2118</v>
      </c>
      <c r="B143" s="292" t="s">
        <v>58</v>
      </c>
      <c r="C143" s="292" t="s">
        <v>58</v>
      </c>
      <c r="D143" s="292" t="s">
        <v>58</v>
      </c>
      <c r="E143" s="292" t="s">
        <v>58</v>
      </c>
      <c r="F143" s="292" t="s">
        <v>58</v>
      </c>
    </row>
    <row r="144" spans="1:6">
      <c r="A144" s="292">
        <v>2119</v>
      </c>
      <c r="B144" s="292" t="s">
        <v>58</v>
      </c>
      <c r="C144" s="292" t="s">
        <v>58</v>
      </c>
      <c r="D144" s="292" t="s">
        <v>58</v>
      </c>
      <c r="E144" s="292" t="s">
        <v>58</v>
      </c>
      <c r="F144" s="292" t="s">
        <v>58</v>
      </c>
    </row>
    <row r="145" spans="1:6">
      <c r="A145" s="292">
        <v>2120</v>
      </c>
      <c r="B145" s="292" t="s">
        <v>58</v>
      </c>
      <c r="C145" s="292" t="s">
        <v>58</v>
      </c>
      <c r="D145" s="292" t="s">
        <v>58</v>
      </c>
      <c r="E145" s="292" t="s">
        <v>58</v>
      </c>
      <c r="F145" s="292" t="s">
        <v>58</v>
      </c>
    </row>
    <row r="146" spans="1:6">
      <c r="A146" s="292">
        <v>2121</v>
      </c>
      <c r="B146" s="292" t="s">
        <v>58</v>
      </c>
      <c r="C146" s="292" t="s">
        <v>58</v>
      </c>
      <c r="D146" s="292" t="s">
        <v>58</v>
      </c>
      <c r="E146" s="292" t="s">
        <v>58</v>
      </c>
      <c r="F146" s="292" t="s">
        <v>58</v>
      </c>
    </row>
    <row r="147" spans="1:6">
      <c r="A147" s="292">
        <v>2122</v>
      </c>
      <c r="B147" s="292" t="s">
        <v>58</v>
      </c>
      <c r="C147" s="292" t="s">
        <v>58</v>
      </c>
      <c r="D147" s="292" t="s">
        <v>58</v>
      </c>
      <c r="E147" s="292" t="s">
        <v>58</v>
      </c>
      <c r="F147" s="292" t="s">
        <v>58</v>
      </c>
    </row>
    <row r="148" spans="1:6">
      <c r="A148" s="292">
        <v>2123</v>
      </c>
      <c r="B148" s="292" t="s">
        <v>58</v>
      </c>
      <c r="C148" s="292" t="s">
        <v>58</v>
      </c>
      <c r="D148" s="292" t="s">
        <v>58</v>
      </c>
      <c r="E148" s="292" t="s">
        <v>58</v>
      </c>
      <c r="F148" s="292" t="s">
        <v>58</v>
      </c>
    </row>
    <row r="149" spans="1:6">
      <c r="A149" s="292">
        <v>2124</v>
      </c>
      <c r="B149" s="292" t="s">
        <v>58</v>
      </c>
      <c r="C149" s="292" t="s">
        <v>58</v>
      </c>
      <c r="D149" s="292" t="s">
        <v>58</v>
      </c>
      <c r="E149" s="292" t="s">
        <v>58</v>
      </c>
      <c r="F149" s="292" t="s">
        <v>58</v>
      </c>
    </row>
    <row r="150" spans="1:6">
      <c r="A150" s="292">
        <v>2125</v>
      </c>
      <c r="B150" s="292" t="s">
        <v>58</v>
      </c>
      <c r="C150" s="292" t="s">
        <v>58</v>
      </c>
      <c r="D150" s="292" t="s">
        <v>58</v>
      </c>
      <c r="E150" s="292" t="s">
        <v>58</v>
      </c>
      <c r="F150" s="292" t="s">
        <v>58</v>
      </c>
    </row>
    <row r="151" spans="1:6">
      <c r="A151" s="292">
        <v>2126</v>
      </c>
      <c r="B151" s="292" t="s">
        <v>58</v>
      </c>
      <c r="C151" s="292" t="s">
        <v>58</v>
      </c>
      <c r="D151" s="292" t="s">
        <v>58</v>
      </c>
      <c r="E151" s="292" t="s">
        <v>58</v>
      </c>
      <c r="F151" s="292" t="s">
        <v>58</v>
      </c>
    </row>
    <row r="152" spans="1:6">
      <c r="A152" s="292">
        <v>2127</v>
      </c>
      <c r="B152" s="292" t="s">
        <v>58</v>
      </c>
      <c r="C152" s="292" t="s">
        <v>58</v>
      </c>
      <c r="D152" s="292" t="s">
        <v>58</v>
      </c>
      <c r="E152" s="292" t="s">
        <v>58</v>
      </c>
      <c r="F152" s="292" t="s">
        <v>58</v>
      </c>
    </row>
    <row r="153" spans="1:6">
      <c r="A153" s="292">
        <v>2128</v>
      </c>
      <c r="B153" s="292" t="s">
        <v>58</v>
      </c>
      <c r="C153" s="292" t="s">
        <v>58</v>
      </c>
      <c r="D153" s="292" t="s">
        <v>58</v>
      </c>
      <c r="E153" s="292" t="s">
        <v>58</v>
      </c>
      <c r="F153" s="292" t="s">
        <v>58</v>
      </c>
    </row>
    <row r="154" spans="1:6">
      <c r="A154" s="292">
        <v>2129</v>
      </c>
      <c r="B154" s="292" t="s">
        <v>58</v>
      </c>
      <c r="C154" s="292" t="s">
        <v>58</v>
      </c>
      <c r="D154" s="292" t="s">
        <v>58</v>
      </c>
      <c r="E154" s="292" t="s">
        <v>58</v>
      </c>
      <c r="F154" s="292" t="s">
        <v>58</v>
      </c>
    </row>
    <row r="155" spans="1:6">
      <c r="A155" s="292">
        <v>2130</v>
      </c>
      <c r="B155" s="292" t="s">
        <v>58</v>
      </c>
      <c r="C155" s="292" t="s">
        <v>58</v>
      </c>
      <c r="D155" s="292" t="s">
        <v>58</v>
      </c>
      <c r="E155" s="292" t="s">
        <v>58</v>
      </c>
      <c r="F155" s="292" t="s">
        <v>58</v>
      </c>
    </row>
    <row r="156" spans="1:6">
      <c r="A156" s="292">
        <v>2131</v>
      </c>
      <c r="B156" s="292" t="s">
        <v>58</v>
      </c>
      <c r="C156" s="292" t="s">
        <v>58</v>
      </c>
      <c r="D156" s="292" t="s">
        <v>58</v>
      </c>
      <c r="E156" s="292" t="s">
        <v>58</v>
      </c>
      <c r="F156" s="292" t="s">
        <v>58</v>
      </c>
    </row>
    <row r="157" spans="1:6">
      <c r="A157" s="292">
        <v>2132</v>
      </c>
      <c r="B157" s="292" t="s">
        <v>58</v>
      </c>
      <c r="C157" s="292" t="s">
        <v>58</v>
      </c>
      <c r="D157" s="292" t="s">
        <v>58</v>
      </c>
      <c r="E157" s="292" t="s">
        <v>58</v>
      </c>
      <c r="F157" s="292" t="s">
        <v>58</v>
      </c>
    </row>
    <row r="158" spans="1:6">
      <c r="A158" s="292">
        <v>2133</v>
      </c>
      <c r="B158" s="292" t="s">
        <v>58</v>
      </c>
      <c r="C158" s="292" t="s">
        <v>58</v>
      </c>
      <c r="D158" s="292" t="s">
        <v>58</v>
      </c>
      <c r="E158" s="292" t="s">
        <v>58</v>
      </c>
      <c r="F158" s="292" t="s">
        <v>58</v>
      </c>
    </row>
    <row r="159" spans="1:6">
      <c r="A159" s="292">
        <v>2134</v>
      </c>
      <c r="B159" s="292" t="s">
        <v>58</v>
      </c>
      <c r="C159" s="292" t="s">
        <v>58</v>
      </c>
      <c r="D159" s="292" t="s">
        <v>58</v>
      </c>
      <c r="E159" s="292" t="s">
        <v>58</v>
      </c>
      <c r="F159" s="292" t="s">
        <v>58</v>
      </c>
    </row>
    <row r="160" spans="1:6">
      <c r="A160" s="292">
        <v>2135</v>
      </c>
      <c r="B160" s="292" t="s">
        <v>58</v>
      </c>
      <c r="C160" s="292" t="s">
        <v>58</v>
      </c>
      <c r="D160" s="292" t="s">
        <v>58</v>
      </c>
      <c r="E160" s="292" t="s">
        <v>58</v>
      </c>
      <c r="F160" s="292" t="s">
        <v>58</v>
      </c>
    </row>
    <row r="161" spans="1:6">
      <c r="A161" s="292">
        <v>2136</v>
      </c>
      <c r="B161" s="292" t="s">
        <v>58</v>
      </c>
      <c r="C161" s="292" t="s">
        <v>58</v>
      </c>
      <c r="D161" s="292" t="s">
        <v>58</v>
      </c>
      <c r="E161" s="292" t="s">
        <v>58</v>
      </c>
      <c r="F161" s="292" t="s">
        <v>58</v>
      </c>
    </row>
    <row r="162" spans="1:6">
      <c r="A162" s="292">
        <v>2137</v>
      </c>
      <c r="B162" s="292" t="s">
        <v>58</v>
      </c>
      <c r="C162" s="292" t="s">
        <v>58</v>
      </c>
      <c r="D162" s="292" t="s">
        <v>58</v>
      </c>
      <c r="E162" s="292" t="s">
        <v>58</v>
      </c>
      <c r="F162" s="292" t="s">
        <v>58</v>
      </c>
    </row>
    <row r="163" spans="1:6">
      <c r="A163" s="292">
        <v>2138</v>
      </c>
      <c r="B163" s="292" t="s">
        <v>58</v>
      </c>
      <c r="C163" s="292" t="s">
        <v>58</v>
      </c>
      <c r="D163" s="292" t="s">
        <v>58</v>
      </c>
      <c r="E163" s="292" t="s">
        <v>58</v>
      </c>
      <c r="F163" s="292" t="s">
        <v>58</v>
      </c>
    </row>
    <row r="164" spans="1:6">
      <c r="A164" s="292">
        <v>2139</v>
      </c>
      <c r="B164" s="292" t="s">
        <v>58</v>
      </c>
      <c r="C164" s="292" t="s">
        <v>58</v>
      </c>
      <c r="D164" s="292" t="s">
        <v>58</v>
      </c>
      <c r="E164" s="292" t="s">
        <v>58</v>
      </c>
      <c r="F164" s="292" t="s">
        <v>58</v>
      </c>
    </row>
    <row r="165" spans="1:6">
      <c r="A165" s="292">
        <v>2140</v>
      </c>
      <c r="B165" s="292" t="s">
        <v>58</v>
      </c>
      <c r="C165" s="292" t="s">
        <v>58</v>
      </c>
      <c r="D165" s="292" t="s">
        <v>58</v>
      </c>
      <c r="E165" s="292" t="s">
        <v>58</v>
      </c>
      <c r="F165" s="292" t="s">
        <v>58</v>
      </c>
    </row>
    <row r="166" spans="1:6">
      <c r="A166" s="292">
        <v>2141</v>
      </c>
      <c r="B166" s="292" t="s">
        <v>58</v>
      </c>
      <c r="C166" s="292" t="s">
        <v>58</v>
      </c>
      <c r="D166" s="292" t="s">
        <v>58</v>
      </c>
      <c r="E166" s="292" t="s">
        <v>58</v>
      </c>
      <c r="F166" s="292" t="s">
        <v>58</v>
      </c>
    </row>
    <row r="167" spans="1:6">
      <c r="A167" s="292">
        <v>2142</v>
      </c>
      <c r="B167" s="292" t="s">
        <v>58</v>
      </c>
      <c r="C167" s="292" t="s">
        <v>58</v>
      </c>
      <c r="D167" s="292" t="s">
        <v>58</v>
      </c>
      <c r="E167" s="292" t="s">
        <v>58</v>
      </c>
      <c r="F167" s="292" t="s">
        <v>58</v>
      </c>
    </row>
    <row r="168" spans="1:6">
      <c r="A168" s="292">
        <v>2143</v>
      </c>
      <c r="B168" s="292" t="s">
        <v>58</v>
      </c>
      <c r="C168" s="292" t="s">
        <v>58</v>
      </c>
      <c r="D168" s="292" t="s">
        <v>58</v>
      </c>
      <c r="E168" s="292" t="s">
        <v>58</v>
      </c>
      <c r="F168" s="292" t="s">
        <v>58</v>
      </c>
    </row>
    <row r="169" spans="1:6">
      <c r="A169" s="292">
        <v>2144</v>
      </c>
      <c r="B169" s="292" t="s">
        <v>58</v>
      </c>
      <c r="C169" s="292" t="s">
        <v>58</v>
      </c>
      <c r="D169" s="292" t="s">
        <v>58</v>
      </c>
      <c r="E169" s="292" t="s">
        <v>58</v>
      </c>
      <c r="F169" s="292" t="s">
        <v>58</v>
      </c>
    </row>
    <row r="170" spans="1:6">
      <c r="A170" s="292">
        <v>2145</v>
      </c>
      <c r="B170" s="292" t="s">
        <v>58</v>
      </c>
      <c r="C170" s="292" t="s">
        <v>58</v>
      </c>
      <c r="D170" s="292" t="s">
        <v>58</v>
      </c>
      <c r="E170" s="292" t="s">
        <v>58</v>
      </c>
      <c r="F170" s="292" t="s">
        <v>58</v>
      </c>
    </row>
    <row r="171" spans="1:6">
      <c r="A171" s="292">
        <v>2146</v>
      </c>
      <c r="B171" s="292" t="s">
        <v>58</v>
      </c>
      <c r="C171" s="292" t="s">
        <v>58</v>
      </c>
      <c r="D171" s="292" t="s">
        <v>58</v>
      </c>
      <c r="E171" s="292" t="s">
        <v>58</v>
      </c>
      <c r="F171" s="292" t="s">
        <v>58</v>
      </c>
    </row>
    <row r="172" spans="1:6">
      <c r="A172" s="292">
        <v>2147</v>
      </c>
      <c r="B172" s="292" t="s">
        <v>58</v>
      </c>
      <c r="C172" s="292" t="s">
        <v>58</v>
      </c>
      <c r="D172" s="292" t="s">
        <v>58</v>
      </c>
      <c r="E172" s="292" t="s">
        <v>58</v>
      </c>
      <c r="F172" s="292" t="s">
        <v>58</v>
      </c>
    </row>
    <row r="173" spans="1:6">
      <c r="A173" s="292">
        <v>2148</v>
      </c>
      <c r="B173" s="292" t="s">
        <v>58</v>
      </c>
      <c r="C173" s="292" t="s">
        <v>58</v>
      </c>
      <c r="D173" s="292" t="s">
        <v>58</v>
      </c>
      <c r="E173" s="292" t="s">
        <v>58</v>
      </c>
      <c r="F173" s="292" t="s">
        <v>58</v>
      </c>
    </row>
    <row r="174" spans="1:6">
      <c r="A174" s="292">
        <v>2149</v>
      </c>
      <c r="B174" s="292" t="s">
        <v>58</v>
      </c>
      <c r="C174" s="292" t="s">
        <v>58</v>
      </c>
      <c r="D174" s="292" t="s">
        <v>58</v>
      </c>
      <c r="E174" s="292" t="s">
        <v>58</v>
      </c>
      <c r="F174" s="292" t="s">
        <v>58</v>
      </c>
    </row>
    <row r="175" spans="1:6">
      <c r="A175" s="292">
        <v>2150</v>
      </c>
      <c r="B175" s="292" t="s">
        <v>58</v>
      </c>
      <c r="C175" s="292" t="s">
        <v>58</v>
      </c>
      <c r="D175" s="292" t="s">
        <v>58</v>
      </c>
      <c r="E175" s="292" t="s">
        <v>58</v>
      </c>
      <c r="F175" s="292" t="s">
        <v>58</v>
      </c>
    </row>
    <row r="176" spans="1:6">
      <c r="A176" s="292">
        <v>2151</v>
      </c>
      <c r="B176" s="292" t="s">
        <v>58</v>
      </c>
      <c r="C176" s="292" t="s">
        <v>58</v>
      </c>
      <c r="D176" s="292" t="s">
        <v>58</v>
      </c>
      <c r="E176" s="292" t="s">
        <v>58</v>
      </c>
      <c r="F176" s="292" t="s">
        <v>58</v>
      </c>
    </row>
    <row r="177" spans="1:6">
      <c r="A177" s="292">
        <v>2152</v>
      </c>
      <c r="B177" s="292" t="s">
        <v>58</v>
      </c>
      <c r="C177" s="292" t="s">
        <v>58</v>
      </c>
      <c r="D177" s="292" t="s">
        <v>58</v>
      </c>
      <c r="E177" s="292" t="s">
        <v>58</v>
      </c>
      <c r="F177" s="292" t="s">
        <v>58</v>
      </c>
    </row>
    <row r="178" spans="1:6">
      <c r="A178" s="292">
        <v>2153</v>
      </c>
      <c r="B178" s="292" t="s">
        <v>58</v>
      </c>
      <c r="C178" s="292" t="s">
        <v>58</v>
      </c>
      <c r="D178" s="292" t="s">
        <v>58</v>
      </c>
      <c r="E178" s="292" t="s">
        <v>58</v>
      </c>
      <c r="F178" s="292" t="s">
        <v>58</v>
      </c>
    </row>
    <row r="179" spans="1:6">
      <c r="A179" s="292">
        <v>2154</v>
      </c>
      <c r="B179" s="292" t="s">
        <v>58</v>
      </c>
      <c r="C179" s="292" t="s">
        <v>58</v>
      </c>
      <c r="D179" s="292" t="s">
        <v>58</v>
      </c>
      <c r="E179" s="292" t="s">
        <v>58</v>
      </c>
      <c r="F179" s="292" t="s">
        <v>58</v>
      </c>
    </row>
    <row r="180" spans="1:6">
      <c r="A180" s="292">
        <v>2155</v>
      </c>
      <c r="B180" s="292" t="s">
        <v>58</v>
      </c>
      <c r="C180" s="292" t="s">
        <v>58</v>
      </c>
      <c r="D180" s="292" t="s">
        <v>58</v>
      </c>
      <c r="E180" s="292" t="s">
        <v>58</v>
      </c>
      <c r="F180" s="292" t="s">
        <v>58</v>
      </c>
    </row>
    <row r="181" spans="1:6">
      <c r="A181" s="292">
        <v>2156</v>
      </c>
      <c r="B181" s="292" t="s">
        <v>58</v>
      </c>
      <c r="C181" s="292" t="s">
        <v>58</v>
      </c>
      <c r="D181" s="292" t="s">
        <v>58</v>
      </c>
      <c r="E181" s="292" t="s">
        <v>58</v>
      </c>
      <c r="F181" s="292" t="s">
        <v>58</v>
      </c>
    </row>
    <row r="182" spans="1:6">
      <c r="A182" s="292">
        <v>2157</v>
      </c>
      <c r="B182" s="292" t="s">
        <v>58</v>
      </c>
      <c r="C182" s="292" t="s">
        <v>58</v>
      </c>
      <c r="D182" s="292" t="s">
        <v>58</v>
      </c>
      <c r="E182" s="292" t="s">
        <v>58</v>
      </c>
      <c r="F182" s="292" t="s">
        <v>58</v>
      </c>
    </row>
    <row r="183" spans="1:6">
      <c r="A183" s="292">
        <v>2158</v>
      </c>
      <c r="B183" s="292" t="s">
        <v>58</v>
      </c>
      <c r="C183" s="292" t="s">
        <v>58</v>
      </c>
      <c r="D183" s="292" t="s">
        <v>58</v>
      </c>
      <c r="E183" s="292" t="s">
        <v>58</v>
      </c>
      <c r="F183" s="292" t="s">
        <v>58</v>
      </c>
    </row>
    <row r="184" spans="1:6">
      <c r="A184" s="292">
        <v>2159</v>
      </c>
      <c r="B184" s="292" t="s">
        <v>58</v>
      </c>
      <c r="C184" s="292" t="s">
        <v>58</v>
      </c>
      <c r="D184" s="292" t="s">
        <v>58</v>
      </c>
      <c r="E184" s="292" t="s">
        <v>58</v>
      </c>
      <c r="F184" s="292" t="s">
        <v>58</v>
      </c>
    </row>
    <row r="185" spans="1:6">
      <c r="A185" s="292">
        <v>2160</v>
      </c>
      <c r="B185" s="292" t="s">
        <v>58</v>
      </c>
      <c r="C185" s="292" t="s">
        <v>58</v>
      </c>
      <c r="D185" s="292" t="s">
        <v>58</v>
      </c>
      <c r="E185" s="292" t="s">
        <v>58</v>
      </c>
      <c r="F185" s="292" t="s">
        <v>58</v>
      </c>
    </row>
    <row r="186" spans="1:6">
      <c r="A186" s="292">
        <v>2161</v>
      </c>
      <c r="B186" s="292" t="s">
        <v>58</v>
      </c>
      <c r="C186" s="292" t="s">
        <v>58</v>
      </c>
      <c r="D186" s="292" t="s">
        <v>58</v>
      </c>
      <c r="E186" s="292" t="s">
        <v>58</v>
      </c>
      <c r="F186" s="292" t="s">
        <v>58</v>
      </c>
    </row>
    <row r="187" spans="1:6">
      <c r="A187" s="292">
        <v>2162</v>
      </c>
      <c r="B187" s="292" t="s">
        <v>58</v>
      </c>
      <c r="C187" s="292" t="s">
        <v>58</v>
      </c>
      <c r="D187" s="292" t="s">
        <v>58</v>
      </c>
      <c r="E187" s="292" t="s">
        <v>58</v>
      </c>
      <c r="F187" s="292" t="s">
        <v>58</v>
      </c>
    </row>
    <row r="188" spans="1:6">
      <c r="A188" s="292">
        <v>2163</v>
      </c>
      <c r="B188" s="292" t="s">
        <v>58</v>
      </c>
      <c r="C188" s="292" t="s">
        <v>58</v>
      </c>
      <c r="D188" s="292" t="s">
        <v>58</v>
      </c>
      <c r="E188" s="292" t="s">
        <v>58</v>
      </c>
      <c r="F188" s="292" t="s">
        <v>58</v>
      </c>
    </row>
    <row r="189" spans="1:6">
      <c r="A189" s="292">
        <v>2164</v>
      </c>
      <c r="B189" s="292" t="s">
        <v>58</v>
      </c>
      <c r="C189" s="292" t="s">
        <v>58</v>
      </c>
      <c r="D189" s="292" t="s">
        <v>58</v>
      </c>
      <c r="E189" s="292" t="s">
        <v>58</v>
      </c>
      <c r="F189" s="292" t="s">
        <v>58</v>
      </c>
    </row>
    <row r="190" spans="1:6">
      <c r="A190" s="292">
        <v>2165</v>
      </c>
      <c r="B190" s="292" t="s">
        <v>58</v>
      </c>
      <c r="C190" s="292" t="s">
        <v>58</v>
      </c>
      <c r="D190" s="292" t="s">
        <v>58</v>
      </c>
      <c r="E190" s="292" t="s">
        <v>58</v>
      </c>
      <c r="F190" s="292" t="s">
        <v>58</v>
      </c>
    </row>
    <row r="191" spans="1:6">
      <c r="A191" s="292">
        <v>2166</v>
      </c>
      <c r="B191" s="292" t="s">
        <v>58</v>
      </c>
      <c r="C191" s="292" t="s">
        <v>58</v>
      </c>
      <c r="D191" s="292" t="s">
        <v>58</v>
      </c>
      <c r="E191" s="292" t="s">
        <v>58</v>
      </c>
      <c r="F191" s="292" t="s">
        <v>58</v>
      </c>
    </row>
    <row r="192" spans="1:6">
      <c r="A192" s="292">
        <v>2167</v>
      </c>
      <c r="B192" s="292" t="s">
        <v>58</v>
      </c>
      <c r="C192" s="292" t="s">
        <v>58</v>
      </c>
      <c r="D192" s="292" t="s">
        <v>58</v>
      </c>
      <c r="E192" s="292" t="s">
        <v>58</v>
      </c>
      <c r="F192" s="292" t="s">
        <v>58</v>
      </c>
    </row>
    <row r="193" spans="1:6">
      <c r="A193" s="292">
        <v>2168</v>
      </c>
      <c r="B193" s="292" t="s">
        <v>58</v>
      </c>
      <c r="C193" s="292" t="s">
        <v>58</v>
      </c>
      <c r="D193" s="292" t="s">
        <v>58</v>
      </c>
      <c r="E193" s="292" t="s">
        <v>58</v>
      </c>
      <c r="F193" s="292" t="s">
        <v>58</v>
      </c>
    </row>
    <row r="194" spans="1:6">
      <c r="A194" s="292">
        <v>2169</v>
      </c>
      <c r="B194" s="292" t="s">
        <v>58</v>
      </c>
      <c r="C194" s="292" t="s">
        <v>58</v>
      </c>
      <c r="D194" s="292" t="s">
        <v>58</v>
      </c>
      <c r="E194" s="292" t="s">
        <v>58</v>
      </c>
      <c r="F194" s="292" t="s">
        <v>58</v>
      </c>
    </row>
    <row r="195" spans="1:6">
      <c r="A195" s="292">
        <v>2170</v>
      </c>
      <c r="B195" s="292" t="s">
        <v>58</v>
      </c>
      <c r="C195" s="292" t="s">
        <v>58</v>
      </c>
      <c r="D195" s="292" t="s">
        <v>58</v>
      </c>
      <c r="E195" s="292" t="s">
        <v>58</v>
      </c>
      <c r="F195" s="292" t="s">
        <v>58</v>
      </c>
    </row>
    <row r="196" spans="1:6">
      <c r="A196" s="292">
        <v>2171</v>
      </c>
      <c r="B196" s="292" t="s">
        <v>58</v>
      </c>
      <c r="C196" s="292" t="s">
        <v>58</v>
      </c>
      <c r="D196" s="292" t="s">
        <v>58</v>
      </c>
      <c r="E196" s="292" t="s">
        <v>58</v>
      </c>
      <c r="F196" s="292" t="s">
        <v>58</v>
      </c>
    </row>
    <row r="197" spans="1:6">
      <c r="A197" s="292">
        <v>2172</v>
      </c>
      <c r="B197" s="292" t="s">
        <v>58</v>
      </c>
      <c r="C197" s="292" t="s">
        <v>58</v>
      </c>
      <c r="D197" s="292" t="s">
        <v>58</v>
      </c>
      <c r="E197" s="292" t="s">
        <v>58</v>
      </c>
      <c r="F197" s="292" t="s">
        <v>58</v>
      </c>
    </row>
    <row r="198" spans="1:6">
      <c r="A198" s="292">
        <v>2173</v>
      </c>
      <c r="B198" s="292" t="s">
        <v>58</v>
      </c>
      <c r="C198" s="292" t="s">
        <v>58</v>
      </c>
      <c r="D198" s="292" t="s">
        <v>58</v>
      </c>
      <c r="E198" s="292" t="s">
        <v>58</v>
      </c>
      <c r="F198" s="292" t="s">
        <v>58</v>
      </c>
    </row>
    <row r="199" spans="1:6">
      <c r="A199" s="292">
        <v>2174</v>
      </c>
      <c r="B199" s="292" t="s">
        <v>58</v>
      </c>
      <c r="C199" s="292" t="s">
        <v>58</v>
      </c>
      <c r="D199" s="292" t="s">
        <v>58</v>
      </c>
      <c r="E199" s="292" t="s">
        <v>58</v>
      </c>
      <c r="F199" s="292" t="s">
        <v>58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45</vt:i4>
      </vt:variant>
    </vt:vector>
  </HeadingPairs>
  <TitlesOfParts>
    <vt:vector size="62" baseType="lpstr">
      <vt:lpstr>0 Instructions</vt:lpstr>
      <vt:lpstr>1 Inputs</vt:lpstr>
      <vt:lpstr>2 Materials</vt:lpstr>
      <vt:lpstr>3a Step Method</vt:lpstr>
      <vt:lpstr>3b Equip</vt:lpstr>
      <vt:lpstr>3c Utilities</vt:lpstr>
      <vt:lpstr>3d CapEx</vt:lpstr>
      <vt:lpstr>3e OpEx</vt:lpstr>
      <vt:lpstr>4 Spent Catalyst</vt:lpstr>
      <vt:lpstr>5 Outputs</vt:lpstr>
      <vt:lpstr>Materials Library</vt:lpstr>
      <vt:lpstr>Step Library</vt:lpstr>
      <vt:lpstr>Equip. Library</vt:lpstr>
      <vt:lpstr>Spent Cat Library</vt:lpstr>
      <vt:lpstr>UnitConv</vt:lpstr>
      <vt:lpstr>ChemPPI</vt:lpstr>
      <vt:lpstr>CEPCI</vt:lpstr>
      <vt:lpstr>ActualProduction</vt:lpstr>
      <vt:lpstr>APWeightPercent</vt:lpstr>
      <vt:lpstr>BasisYear</vt:lpstr>
      <vt:lpstr>CurrencySymbol</vt:lpstr>
      <vt:lpstr>DesignProductionRate</vt:lpstr>
      <vt:lpstr>EquipInstalled</vt:lpstr>
      <vt:lpstr>EquipPurchase</vt:lpstr>
      <vt:lpstr>EstimateName</vt:lpstr>
      <vt:lpstr>FCI</vt:lpstr>
      <vt:lpstr>FlatMargin</vt:lpstr>
      <vt:lpstr>GeneralExp</vt:lpstr>
      <vt:lpstr>LaborFacTotal</vt:lpstr>
      <vt:lpstr>LaborHours</vt:lpstr>
      <vt:lpstr>LSM</vt:lpstr>
      <vt:lpstr>MassUnits</vt:lpstr>
      <vt:lpstr>MaterialsAnnualCost</vt:lpstr>
      <vt:lpstr>MaterialsUnitCost</vt:lpstr>
      <vt:lpstr>molar_volume_scf_def</vt:lpstr>
      <vt:lpstr>OutMassUnit</vt:lpstr>
      <vt:lpstr>PlantLife</vt:lpstr>
      <vt:lpstr>ProcEstApproach</vt:lpstr>
      <vt:lpstr>RawMaterialNames</vt:lpstr>
      <vt:lpstr>ROI</vt:lpstr>
      <vt:lpstr>SpentDensNames</vt:lpstr>
      <vt:lpstr>SpentHazNames</vt:lpstr>
      <vt:lpstr>SpentMetals</vt:lpstr>
      <vt:lpstr>SpentSupports</vt:lpstr>
      <vt:lpstr>SpentValue</vt:lpstr>
      <vt:lpstr>StepCampaignTime</vt:lpstr>
      <vt:lpstr>StepCampaignTotal</vt:lpstr>
      <vt:lpstr>StepEquipSize</vt:lpstr>
      <vt:lpstr>StepGnA</vt:lpstr>
      <vt:lpstr>StepMargin</vt:lpstr>
      <vt:lpstr>StepNames</vt:lpstr>
      <vt:lpstr>StepOrderSize</vt:lpstr>
      <vt:lpstr>StepOrderSizeOut</vt:lpstr>
      <vt:lpstr>StepSARD</vt:lpstr>
      <vt:lpstr>StepUnitTotal</vt:lpstr>
      <vt:lpstr>TCI</vt:lpstr>
      <vt:lpstr>TIRO</vt:lpstr>
      <vt:lpstr>Units</vt:lpstr>
      <vt:lpstr>UtilitiesAnnualCost</vt:lpstr>
      <vt:lpstr>UtilitiesUnitCost</vt:lpstr>
      <vt:lpstr>Version</vt:lpstr>
      <vt:lpstr>WorkingCapital</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Van Allsburg</dc:creator>
  <cp:lastModifiedBy>Microsoft Office User</cp:lastModifiedBy>
  <dcterms:created xsi:type="dcterms:W3CDTF">2017-01-04T16:59:03Z</dcterms:created>
  <dcterms:modified xsi:type="dcterms:W3CDTF">2020-04-06T18:46:33Z</dcterms:modified>
</cp:coreProperties>
</file>